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FileServer01\DocumentsFromPCs\amckellar\Documents\Website Drafts\"/>
    </mc:Choice>
  </mc:AlternateContent>
  <bookViews>
    <workbookView xWindow="0" yWindow="0" windowWidth="23040" windowHeight="8610" tabRatio="986"/>
  </bookViews>
  <sheets>
    <sheet name="Model Assumptions" sheetId="7" r:id="rId1"/>
    <sheet name="Rent Roll" sheetId="14" r:id="rId2"/>
    <sheet name="Stabilized Proforma NOI (YR 1)" sheetId="11" r:id="rId3"/>
    <sheet name="Stabilized Proforma NOI (YR 6)" sheetId="12" r:id="rId4"/>
    <sheet name="Unleveraged Net Cash Flows" sheetId="2" r:id="rId5"/>
    <sheet name="Unleveraged DCF Analysis" sheetId="3" r:id="rId6"/>
    <sheet name="Debt Financing" sheetId="5" r:id="rId7"/>
    <sheet name="Leveraged Net Cash Flows" sheetId="9" r:id="rId8"/>
    <sheet name="Leveraged DCF Analysis" sheetId="10" r:id="rId9"/>
  </sheets>
  <definedNames>
    <definedName name="months">'Model Assumptions'!#REF!</definedName>
    <definedName name="Years">'Model Assumptions'!$C$30:$G$30</definedName>
  </definedNames>
  <calcPr calcId="162913"/>
</workbook>
</file>

<file path=xl/calcChain.xml><?xml version="1.0" encoding="utf-8"?>
<calcChain xmlns="http://schemas.openxmlformats.org/spreadsheetml/2006/main">
  <c r="C7" i="5" l="1"/>
  <c r="F7" i="5"/>
  <c r="C8" i="5"/>
  <c r="F8" i="5"/>
  <c r="F9" i="5" s="1"/>
  <c r="F10" i="5" s="1"/>
  <c r="G7" i="5" s="1"/>
  <c r="G10" i="5" s="1"/>
  <c r="H7" i="5" s="1"/>
  <c r="J8" i="5"/>
  <c r="J9" i="5" s="1"/>
  <c r="C9" i="5"/>
  <c r="G8" i="5" s="1"/>
  <c r="G9" i="5" s="1"/>
  <c r="C10" i="5"/>
  <c r="I8" i="5" s="1"/>
  <c r="I9" i="5" s="1"/>
  <c r="H8" i="5" l="1"/>
  <c r="H9" i="5" s="1"/>
  <c r="H10" i="5" s="1"/>
  <c r="I7" i="5" s="1"/>
  <c r="I10" i="5" s="1"/>
  <c r="J7" i="5" s="1"/>
  <c r="J10" i="5" s="1"/>
  <c r="Q19" i="7"/>
  <c r="Q21" i="7"/>
  <c r="C31" i="7" l="1"/>
  <c r="Q12" i="7" l="1"/>
  <c r="C20" i="11" l="1"/>
  <c r="C20" i="12"/>
  <c r="C6" i="11"/>
  <c r="G6" i="14" l="1"/>
  <c r="G7" i="14"/>
  <c r="G8" i="14"/>
  <c r="E6" i="14"/>
  <c r="F6" i="14"/>
  <c r="E7" i="14"/>
  <c r="F7" i="14"/>
  <c r="E8" i="14"/>
  <c r="F8" i="14"/>
  <c r="D6" i="14"/>
  <c r="D7" i="14"/>
  <c r="D8" i="14"/>
  <c r="C7" i="14"/>
  <c r="C8" i="14"/>
  <c r="C6" i="14"/>
  <c r="B7" i="14"/>
  <c r="B8" i="14"/>
  <c r="B6" i="14"/>
  <c r="Q14" i="7" l="1"/>
  <c r="C7" i="3" l="1"/>
  <c r="C8" i="3"/>
  <c r="C9" i="3"/>
  <c r="D11" i="10" s="1"/>
  <c r="C5" i="11"/>
  <c r="C9" i="11" s="1"/>
  <c r="C8" i="11"/>
  <c r="C13" i="11"/>
  <c r="C14" i="11"/>
  <c r="C15" i="11"/>
  <c r="C16" i="11"/>
  <c r="C17" i="11"/>
  <c r="C32" i="9"/>
  <c r="C11" i="5"/>
  <c r="C12" i="5" s="1"/>
  <c r="D10" i="10" s="1"/>
  <c r="C32" i="7"/>
  <c r="C33" i="7"/>
  <c r="G60" i="7"/>
  <c r="H20" i="2" s="1"/>
  <c r="G61" i="7"/>
  <c r="H21" i="9" s="1"/>
  <c r="G62" i="7"/>
  <c r="H22" i="9" s="1"/>
  <c r="G63" i="7"/>
  <c r="H23" i="9" s="1"/>
  <c r="G64" i="7"/>
  <c r="H24" i="2" s="1"/>
  <c r="C46" i="7"/>
  <c r="D46" i="7" s="1"/>
  <c r="E46" i="7" s="1"/>
  <c r="C47" i="7"/>
  <c r="D47" i="7" s="1"/>
  <c r="C48" i="7"/>
  <c r="D48" i="7" s="1"/>
  <c r="E48" i="7" s="1"/>
  <c r="F48" i="7" s="1"/>
  <c r="G48" i="7" s="1"/>
  <c r="H20" i="9"/>
  <c r="H24" i="9"/>
  <c r="C5" i="12"/>
  <c r="C8" i="12"/>
  <c r="C6" i="12"/>
  <c r="C13" i="12"/>
  <c r="C14" i="12"/>
  <c r="C15" i="12"/>
  <c r="C16" i="12"/>
  <c r="C17" i="12"/>
  <c r="F60" i="7"/>
  <c r="G20" i="9" s="1"/>
  <c r="F61" i="7"/>
  <c r="G21" i="9" s="1"/>
  <c r="F62" i="7"/>
  <c r="G22" i="9" s="1"/>
  <c r="F63" i="7"/>
  <c r="G23" i="9" s="1"/>
  <c r="F64" i="7"/>
  <c r="G24" i="2" s="1"/>
  <c r="E60" i="7"/>
  <c r="F20" i="9" s="1"/>
  <c r="E61" i="7"/>
  <c r="F21" i="2" s="1"/>
  <c r="E62" i="7"/>
  <c r="F22" i="9" s="1"/>
  <c r="E63" i="7"/>
  <c r="F23" i="9" s="1"/>
  <c r="E64" i="7"/>
  <c r="F24" i="9" s="1"/>
  <c r="D60" i="7"/>
  <c r="E20" i="9" s="1"/>
  <c r="D61" i="7"/>
  <c r="E21" i="9" s="1"/>
  <c r="D62" i="7"/>
  <c r="E22" i="2" s="1"/>
  <c r="D63" i="7"/>
  <c r="E23" i="9" s="1"/>
  <c r="D64" i="7"/>
  <c r="E24" i="2" s="1"/>
  <c r="D38" i="7"/>
  <c r="D11" i="9"/>
  <c r="C60" i="7"/>
  <c r="D20" i="2" s="1"/>
  <c r="C61" i="7"/>
  <c r="D21" i="2" s="1"/>
  <c r="C62" i="7"/>
  <c r="D22" i="9" s="1"/>
  <c r="C63" i="7"/>
  <c r="D23" i="9" s="1"/>
  <c r="C64" i="7"/>
  <c r="D24" i="9" s="1"/>
  <c r="C36" i="7"/>
  <c r="C37" i="7"/>
  <c r="C38" i="7"/>
  <c r="D20" i="9"/>
  <c r="M7" i="14"/>
  <c r="M8" i="14"/>
  <c r="M6" i="14"/>
  <c r="L6" i="14"/>
  <c r="L7" i="14"/>
  <c r="L8" i="14"/>
  <c r="J6" i="14"/>
  <c r="K6" i="14"/>
  <c r="J7" i="14"/>
  <c r="K7" i="14"/>
  <c r="J8" i="14"/>
  <c r="K8" i="14"/>
  <c r="I6" i="14"/>
  <c r="I7" i="14"/>
  <c r="I8" i="14"/>
  <c r="H7" i="14"/>
  <c r="H8" i="14"/>
  <c r="H6" i="14"/>
  <c r="D11" i="2"/>
  <c r="E20" i="2"/>
  <c r="F22" i="2"/>
  <c r="G20" i="2"/>
  <c r="L37" i="7"/>
  <c r="G24" i="9" l="1"/>
  <c r="C10" i="12"/>
  <c r="C9" i="12"/>
  <c r="H21" i="2"/>
  <c r="D32" i="7"/>
  <c r="E32" i="7" s="1"/>
  <c r="D33" i="7"/>
  <c r="E33" i="7" s="1"/>
  <c r="F11" i="9" s="1"/>
  <c r="D9" i="2"/>
  <c r="D9" i="9"/>
  <c r="D21" i="9"/>
  <c r="D25" i="9" s="1"/>
  <c r="F24" i="2"/>
  <c r="E24" i="9"/>
  <c r="D23" i="2"/>
  <c r="G21" i="2"/>
  <c r="D10" i="2"/>
  <c r="F20" i="2"/>
  <c r="D10" i="9"/>
  <c r="D12" i="9" s="1"/>
  <c r="D37" i="7"/>
  <c r="D15" i="2"/>
  <c r="D24" i="2"/>
  <c r="D31" i="7"/>
  <c r="E9" i="2" s="1"/>
  <c r="C10" i="11"/>
  <c r="C11" i="11" s="1"/>
  <c r="D15" i="9"/>
  <c r="D27" i="2"/>
  <c r="D27" i="9"/>
  <c r="G23" i="2"/>
  <c r="G22" i="2"/>
  <c r="E22" i="9"/>
  <c r="E25" i="9" s="1"/>
  <c r="D36" i="7"/>
  <c r="E23" i="2"/>
  <c r="D13" i="9"/>
  <c r="F21" i="9"/>
  <c r="F25" i="9" s="1"/>
  <c r="E13" i="2"/>
  <c r="H23" i="2"/>
  <c r="E21" i="2"/>
  <c r="D13" i="2"/>
  <c r="F23" i="2"/>
  <c r="D22" i="2"/>
  <c r="E47" i="7"/>
  <c r="F47" i="7" s="1"/>
  <c r="G47" i="7" s="1"/>
  <c r="E27" i="9"/>
  <c r="C18" i="11"/>
  <c r="C18" i="12"/>
  <c r="H25" i="9"/>
  <c r="G25" i="9"/>
  <c r="F46" i="7"/>
  <c r="C33" i="9"/>
  <c r="H13" i="2"/>
  <c r="E27" i="2"/>
  <c r="F13" i="9"/>
  <c r="H13" i="9"/>
  <c r="H22" i="2"/>
  <c r="G13" i="2"/>
  <c r="E13" i="9"/>
  <c r="C13" i="5"/>
  <c r="G13" i="9"/>
  <c r="F13" i="2"/>
  <c r="C15" i="5"/>
  <c r="C22" i="5" s="1"/>
  <c r="C32" i="2"/>
  <c r="C11" i="12" l="1"/>
  <c r="E37" i="7"/>
  <c r="E15" i="2"/>
  <c r="F27" i="2"/>
  <c r="D12" i="2"/>
  <c r="D16" i="2" s="1"/>
  <c r="D18" i="2" s="1"/>
  <c r="E10" i="2"/>
  <c r="E10" i="9"/>
  <c r="E15" i="9"/>
  <c r="F37" i="7"/>
  <c r="F10" i="2"/>
  <c r="F10" i="9"/>
  <c r="F11" i="2"/>
  <c r="F38" i="7"/>
  <c r="E11" i="2"/>
  <c r="F33" i="7"/>
  <c r="G11" i="2" s="1"/>
  <c r="E38" i="7"/>
  <c r="E11" i="9"/>
  <c r="D25" i="2"/>
  <c r="D16" i="9"/>
  <c r="E25" i="2"/>
  <c r="E9" i="9"/>
  <c r="F27" i="9"/>
  <c r="C19" i="11"/>
  <c r="H25" i="2"/>
  <c r="F32" i="7"/>
  <c r="G37" i="7" s="1"/>
  <c r="F25" i="2"/>
  <c r="G25" i="2"/>
  <c r="E31" i="7"/>
  <c r="E36" i="7"/>
  <c r="E12" i="2"/>
  <c r="C19" i="12"/>
  <c r="C21" i="12" s="1"/>
  <c r="C33" i="2"/>
  <c r="G46" i="7"/>
  <c r="G27" i="2"/>
  <c r="G27" i="9"/>
  <c r="D18" i="9" l="1"/>
  <c r="D26" i="9" s="1"/>
  <c r="C21" i="11"/>
  <c r="C22" i="11" s="1"/>
  <c r="G38" i="7"/>
  <c r="G11" i="9"/>
  <c r="E16" i="2"/>
  <c r="F15" i="2"/>
  <c r="G10" i="9"/>
  <c r="G10" i="2"/>
  <c r="G32" i="7"/>
  <c r="C42" i="7" s="1"/>
  <c r="F15" i="9"/>
  <c r="E12" i="9"/>
  <c r="E16" i="9" s="1"/>
  <c r="G33" i="7"/>
  <c r="F43" i="7" s="1"/>
  <c r="D26" i="2"/>
  <c r="F36" i="7"/>
  <c r="F9" i="2"/>
  <c r="F12" i="2" s="1"/>
  <c r="F31" i="7"/>
  <c r="F9" i="9"/>
  <c r="F12" i="9" s="1"/>
  <c r="C22" i="12"/>
  <c r="Q20" i="7" s="1"/>
  <c r="H31" i="9" s="1"/>
  <c r="H27" i="9"/>
  <c r="H27" i="2"/>
  <c r="C13" i="3"/>
  <c r="C19" i="5" l="1"/>
  <c r="C20" i="5" s="1"/>
  <c r="C23" i="5" s="1"/>
  <c r="C25" i="5" s="1"/>
  <c r="Q18" i="7"/>
  <c r="D29" i="9"/>
  <c r="E26" i="2"/>
  <c r="E29" i="2" s="1"/>
  <c r="E18" i="2"/>
  <c r="E18" i="9"/>
  <c r="E26" i="9" s="1"/>
  <c r="E29" i="9" s="1"/>
  <c r="D29" i="2"/>
  <c r="F16" i="9"/>
  <c r="G43" i="7"/>
  <c r="G42" i="7"/>
  <c r="F16" i="2"/>
  <c r="H11" i="2"/>
  <c r="F42" i="7"/>
  <c r="H11" i="9"/>
  <c r="E43" i="7"/>
  <c r="E42" i="7"/>
  <c r="D43" i="7"/>
  <c r="H10" i="2"/>
  <c r="H10" i="9"/>
  <c r="D42" i="7"/>
  <c r="D36" i="2"/>
  <c r="L33" i="7" s="1"/>
  <c r="C43" i="7"/>
  <c r="G36" i="7"/>
  <c r="G9" i="9"/>
  <c r="G12" i="9" s="1"/>
  <c r="G9" i="2"/>
  <c r="G12" i="2" s="1"/>
  <c r="G31" i="7"/>
  <c r="G15" i="2"/>
  <c r="G15" i="9"/>
  <c r="H31" i="2"/>
  <c r="C14" i="3"/>
  <c r="C27" i="5" l="1"/>
  <c r="G41" i="9" s="1"/>
  <c r="C16" i="5"/>
  <c r="C39" i="9" s="1"/>
  <c r="E36" i="2"/>
  <c r="M33" i="7" s="1"/>
  <c r="F18" i="9"/>
  <c r="F26" i="9" s="1"/>
  <c r="F29" i="9" s="1"/>
  <c r="F18" i="2"/>
  <c r="F26" i="2" s="1"/>
  <c r="E41" i="7"/>
  <c r="F28" i="9" s="1"/>
  <c r="G41" i="7"/>
  <c r="F41" i="7"/>
  <c r="D41" i="7"/>
  <c r="E28" i="2" s="1"/>
  <c r="C41" i="7"/>
  <c r="H9" i="2"/>
  <c r="H12" i="2" s="1"/>
  <c r="H9" i="9"/>
  <c r="H12" i="9" s="1"/>
  <c r="G16" i="2"/>
  <c r="G16" i="9"/>
  <c r="H15" i="9"/>
  <c r="H15" i="2"/>
  <c r="F41" i="9" l="1"/>
  <c r="C17" i="5"/>
  <c r="C10" i="10" s="1"/>
  <c r="E41" i="9"/>
  <c r="E48" i="9" s="1"/>
  <c r="M36" i="7" s="1"/>
  <c r="H41" i="9"/>
  <c r="D41" i="9"/>
  <c r="D48" i="9" s="1"/>
  <c r="L36" i="7" s="1"/>
  <c r="F36" i="2"/>
  <c r="N33" i="7" s="1"/>
  <c r="F29" i="2"/>
  <c r="F30" i="9"/>
  <c r="F33" i="9" s="1"/>
  <c r="G18" i="2"/>
  <c r="G26" i="2" s="1"/>
  <c r="E30" i="2"/>
  <c r="E33" i="2" s="1"/>
  <c r="E13" i="3" s="1"/>
  <c r="E14" i="3" s="1"/>
  <c r="G18" i="9"/>
  <c r="G26" i="9" s="1"/>
  <c r="F28" i="2"/>
  <c r="H28" i="2"/>
  <c r="H28" i="9"/>
  <c r="G28" i="9"/>
  <c r="G28" i="2"/>
  <c r="D28" i="9"/>
  <c r="D30" i="9" s="1"/>
  <c r="D28" i="2"/>
  <c r="E28" i="9"/>
  <c r="H16" i="9"/>
  <c r="H16" i="2"/>
  <c r="F48" i="9"/>
  <c r="N36" i="7" s="1"/>
  <c r="C26" i="5"/>
  <c r="C40" i="9" s="1"/>
  <c r="C43" i="9" s="1"/>
  <c r="E18" i="10" s="1"/>
  <c r="H42" i="9" l="1"/>
  <c r="F38" i="9"/>
  <c r="F43" i="9" s="1"/>
  <c r="H18" i="10" s="1"/>
  <c r="G48" i="9"/>
  <c r="O36" i="7" s="1"/>
  <c r="G29" i="9"/>
  <c r="G30" i="9" s="1"/>
  <c r="G38" i="9" s="1"/>
  <c r="G43" i="9" s="1"/>
  <c r="I18" i="10" s="1"/>
  <c r="G29" i="2"/>
  <c r="G30" i="2" s="1"/>
  <c r="G33" i="2" s="1"/>
  <c r="G13" i="3" s="1"/>
  <c r="G14" i="3" s="1"/>
  <c r="G36" i="2"/>
  <c r="O33" i="7" s="1"/>
  <c r="H18" i="2"/>
  <c r="H26" i="2" s="1"/>
  <c r="H18" i="9"/>
  <c r="H26" i="9" s="1"/>
  <c r="E30" i="9"/>
  <c r="E33" i="9" s="1"/>
  <c r="D30" i="2"/>
  <c r="D33" i="2" s="1"/>
  <c r="D13" i="3" s="1"/>
  <c r="D14" i="3" s="1"/>
  <c r="F30" i="2"/>
  <c r="F33" i="2" s="1"/>
  <c r="F13" i="3" s="1"/>
  <c r="F14" i="3" s="1"/>
  <c r="G33" i="9"/>
  <c r="D38" i="9"/>
  <c r="D43" i="9" s="1"/>
  <c r="F18" i="10" s="1"/>
  <c r="D33" i="9"/>
  <c r="C9" i="10"/>
  <c r="D9" i="10" s="1"/>
  <c r="D13" i="10" s="1"/>
  <c r="E19" i="10" s="1"/>
  <c r="H48" i="9" l="1"/>
  <c r="P36" i="7" s="1"/>
  <c r="H29" i="9"/>
  <c r="H30" i="9" s="1"/>
  <c r="H29" i="2"/>
  <c r="H30" i="2" s="1"/>
  <c r="H33" i="2" s="1"/>
  <c r="H13" i="3" s="1"/>
  <c r="H36" i="2"/>
  <c r="P33" i="7" s="1"/>
  <c r="E38" i="9"/>
  <c r="E43" i="9" s="1"/>
  <c r="G18" i="10" s="1"/>
  <c r="G19" i="10" s="1"/>
  <c r="G49" i="9"/>
  <c r="O37" i="7" s="1"/>
  <c r="F49" i="9"/>
  <c r="N37" i="7" s="1"/>
  <c r="F19" i="10"/>
  <c r="H19" i="10"/>
  <c r="I19" i="10"/>
  <c r="E49" i="9" l="1"/>
  <c r="M37" i="7" s="1"/>
  <c r="H38" i="9"/>
  <c r="H43" i="9" s="1"/>
  <c r="H33" i="9"/>
  <c r="C35" i="9" s="1"/>
  <c r="Q22" i="7" s="1"/>
  <c r="C16" i="3"/>
  <c r="C19" i="3"/>
  <c r="H14" i="3"/>
  <c r="C18" i="3" s="1"/>
  <c r="Q24" i="7" s="1"/>
  <c r="C17" i="3" l="1"/>
  <c r="Q23" i="7" s="1"/>
  <c r="J18" i="10"/>
  <c r="C45" i="9"/>
  <c r="H49" i="9"/>
  <c r="P37" i="7" s="1"/>
  <c r="J19" i="10" l="1"/>
  <c r="E21" i="10"/>
  <c r="E24" i="10"/>
  <c r="Q25" i="7" s="1"/>
  <c r="E23" i="10" l="1"/>
  <c r="Q27" i="7" s="1"/>
  <c r="E22" i="10"/>
  <c r="Q26" i="7" s="1"/>
</calcChain>
</file>

<file path=xl/sharedStrings.xml><?xml version="1.0" encoding="utf-8"?>
<sst xmlns="http://schemas.openxmlformats.org/spreadsheetml/2006/main" count="322" uniqueCount="184">
  <si>
    <t>Misc Income</t>
  </si>
  <si>
    <t>Utilities</t>
  </si>
  <si>
    <t>Effective Gross Income (EGI)</t>
  </si>
  <si>
    <t>Net Operating Income (NOI)</t>
  </si>
  <si>
    <t>Capitalization Rate</t>
  </si>
  <si>
    <t>Office Tenant 2</t>
  </si>
  <si>
    <t>Office Tenant 3</t>
  </si>
  <si>
    <t>Cash Flow Statement</t>
  </si>
  <si>
    <t>Discounted to Year 0</t>
  </si>
  <si>
    <t>Constraints</t>
  </si>
  <si>
    <t xml:space="preserve">Growth Rate </t>
  </si>
  <si>
    <t>Discount Rate</t>
  </si>
  <si>
    <t>NPV</t>
  </si>
  <si>
    <t>IRR</t>
  </si>
  <si>
    <t>Total Project Cost</t>
  </si>
  <si>
    <t>Asset Price</t>
  </si>
  <si>
    <t>LTV</t>
  </si>
  <si>
    <t>Loan Amount Based on LTV</t>
  </si>
  <si>
    <t>First Year NOI</t>
  </si>
  <si>
    <t>Payments Per Year</t>
  </si>
  <si>
    <t>Equity Portion</t>
  </si>
  <si>
    <t xml:space="preserve">Amortization Schedule </t>
  </si>
  <si>
    <t>Initial Balance</t>
  </si>
  <si>
    <t>Interest Payment</t>
  </si>
  <si>
    <t>Principal Payment</t>
  </si>
  <si>
    <t xml:space="preserve">Years </t>
  </si>
  <si>
    <t>Ending Balance</t>
  </si>
  <si>
    <t>Period Interest Rate</t>
  </si>
  <si>
    <t>Loan Variables</t>
  </si>
  <si>
    <t>Rate</t>
  </si>
  <si>
    <t>rd</t>
  </si>
  <si>
    <t>Year Ending Dec 31</t>
  </si>
  <si>
    <t>Payment Schedule</t>
  </si>
  <si>
    <t>Amortization Length (Years)</t>
  </si>
  <si>
    <t>Total Operating Expenses</t>
  </si>
  <si>
    <t>Property Type</t>
  </si>
  <si>
    <t>Gross Leaseable Area</t>
  </si>
  <si>
    <t>Office</t>
  </si>
  <si>
    <t># of Tenants</t>
  </si>
  <si>
    <t>Estimated Purchase Price</t>
  </si>
  <si>
    <t>Quantum Energy Solutions</t>
  </si>
  <si>
    <t>Rent Area</t>
  </si>
  <si>
    <t xml:space="preserve">Commencement </t>
  </si>
  <si>
    <t>Expiration</t>
  </si>
  <si>
    <t>Year</t>
  </si>
  <si>
    <t>Month</t>
  </si>
  <si>
    <t># Parking Stalls</t>
  </si>
  <si>
    <t>Property Insurance</t>
  </si>
  <si>
    <t>Units</t>
  </si>
  <si>
    <t>Area</t>
  </si>
  <si>
    <t>%fixed</t>
  </si>
  <si>
    <t>$/Area</t>
  </si>
  <si>
    <t>Gross SF</t>
  </si>
  <si>
    <t>Financing Assumptions</t>
  </si>
  <si>
    <t>Leasing Assumptions</t>
  </si>
  <si>
    <t>Market Vacancy</t>
  </si>
  <si>
    <t>Physical Summary</t>
  </si>
  <si>
    <t>Performance Summary</t>
  </si>
  <si>
    <t>Estimated Sale Price</t>
  </si>
  <si>
    <t>Stabilized Proforma NOI (Year 6)</t>
  </si>
  <si>
    <t>Ratios</t>
  </si>
  <si>
    <t>ROE</t>
  </si>
  <si>
    <t>Summary Ratios</t>
  </si>
  <si>
    <t>Repairs and Maintenance</t>
  </si>
  <si>
    <t>Total Operation Expenses</t>
  </si>
  <si>
    <t>PV</t>
  </si>
  <si>
    <t>Rate Quoted</t>
  </si>
  <si>
    <t>Office Tenant 2 (Suite 2)</t>
  </si>
  <si>
    <t>Quantum Energy Solutions (Suite 1)</t>
  </si>
  <si>
    <t>Hypo Office Model Summary</t>
  </si>
  <si>
    <t>r</t>
  </si>
  <si>
    <t>r'</t>
  </si>
  <si>
    <t>Expenses</t>
  </si>
  <si>
    <t>Reimbursed</t>
  </si>
  <si>
    <t>Rent</t>
  </si>
  <si>
    <t>Parking</t>
  </si>
  <si>
    <t>Tenant</t>
  </si>
  <si>
    <t>Termination</t>
  </si>
  <si>
    <t>Yes</t>
  </si>
  <si>
    <t xml:space="preserve">No </t>
  </si>
  <si>
    <t>NA</t>
  </si>
  <si>
    <t>Renew Option</t>
  </si>
  <si>
    <t>180-150 days prior</t>
  </si>
  <si>
    <t>Market Growth</t>
  </si>
  <si>
    <t>Before Debt Discount Rate</t>
  </si>
  <si>
    <t>After Debt Discount Rate</t>
  </si>
  <si>
    <t>Purchase Price</t>
  </si>
  <si>
    <t>Sale Price</t>
  </si>
  <si>
    <t>Stabilized Proforma NOI (Year 1)</t>
  </si>
  <si>
    <t>Hypo Office Rent Roll</t>
  </si>
  <si>
    <t>Expense Esc.</t>
  </si>
  <si>
    <t>Rent Abatement</t>
  </si>
  <si>
    <t>Market Assumptions</t>
  </si>
  <si>
    <t>Operating Expense Assumptions</t>
  </si>
  <si>
    <t>Ingoing Cap Rate</t>
  </si>
  <si>
    <t>Outgoing Cap Rate</t>
  </si>
  <si>
    <t>Cap. Ex.</t>
  </si>
  <si>
    <t>Inflation Rate</t>
  </si>
  <si>
    <t>Annual Rental Income</t>
  </si>
  <si>
    <t>Annual Parking Rental Income</t>
  </si>
  <si>
    <t>Property Taxes</t>
  </si>
  <si>
    <t>Management Fees</t>
  </si>
  <si>
    <t>DCR</t>
  </si>
  <si>
    <t>Annual Nomial Interest Rate</t>
  </si>
  <si>
    <t>Acquisition and Disposition Assumptions</t>
  </si>
  <si>
    <t>Rent/Sq. Ft.</t>
  </si>
  <si>
    <t>Rent Esc./Year</t>
  </si>
  <si>
    <t>TI/Per Sq. Ft.</t>
  </si>
  <si>
    <t>Rent Abate./Month</t>
  </si>
  <si>
    <t>Amount</t>
  </si>
  <si>
    <t>$/Year</t>
  </si>
  <si>
    <t>Annual Operating Expenses</t>
  </si>
  <si>
    <t>Discount Rate Assumptions</t>
  </si>
  <si>
    <t>Unleveraged IRR</t>
  </si>
  <si>
    <t>Unleveraged PV</t>
  </si>
  <si>
    <t>Unleveraged NPV</t>
  </si>
  <si>
    <t>Leveraged IRR</t>
  </si>
  <si>
    <t>Leveraged PV</t>
  </si>
  <si>
    <t>Leveraged NPV</t>
  </si>
  <si>
    <t>Property Summary</t>
  </si>
  <si>
    <t>Unleveraged</t>
  </si>
  <si>
    <t xml:space="preserve">Leveraged </t>
  </si>
  <si>
    <t>Operating Expense Reimbursements</t>
  </si>
  <si>
    <t>Annual Parking Income</t>
  </si>
  <si>
    <t>Gross Potential Income (GPI)</t>
  </si>
  <si>
    <t>Annual StabilizedRental Income</t>
  </si>
  <si>
    <t>Stabilized Vacancy and Collection Allowance</t>
  </si>
  <si>
    <t>Income</t>
  </si>
  <si>
    <t>Operating Expenses</t>
  </si>
  <si>
    <t>Average Capital Expenditures</t>
  </si>
  <si>
    <t>Exercise Date</t>
  </si>
  <si>
    <t>TI</t>
  </si>
  <si>
    <t>Rent/Stall/Month</t>
  </si>
  <si>
    <t>Parking Rent Esc./Year</t>
  </si>
  <si>
    <t>Adjusted Net Operating Income (adjusted NOI)</t>
  </si>
  <si>
    <t>Total Annual Rental Income</t>
  </si>
  <si>
    <t>Operating Expense Reimbursments</t>
  </si>
  <si>
    <t xml:space="preserve"> Vacancy and Collection Allowance</t>
  </si>
  <si>
    <t>Capital Expenditures</t>
  </si>
  <si>
    <t>Amortization Period (Years)</t>
  </si>
  <si>
    <t>Annual Nominal Interest Rate</t>
  </si>
  <si>
    <t>EAR</t>
  </si>
  <si>
    <t xml:space="preserve">Annual Payment </t>
  </si>
  <si>
    <t>Loan Amount Based on DCR</t>
  </si>
  <si>
    <t>Max Loan (Lesser of LTV, DCR)</t>
  </si>
  <si>
    <t xml:space="preserve">   Vacancy and Collection Allowance</t>
  </si>
  <si>
    <t>Net Unleveraged Cash Flow</t>
  </si>
  <si>
    <t>Net Unleveraged Cash Flows</t>
  </si>
  <si>
    <t>Leveraged Cash Flows</t>
  </si>
  <si>
    <t>Adjusted NOI</t>
  </si>
  <si>
    <t>Initial Equity Investment</t>
  </si>
  <si>
    <t>Reversionary Equity Value</t>
  </si>
  <si>
    <t>Net Leveraged Cash Flow</t>
  </si>
  <si>
    <r>
      <t xml:space="preserve">Hypo Office </t>
    </r>
    <r>
      <rPr>
        <b/>
        <sz val="14"/>
        <color theme="1"/>
        <rFont val="Calibri"/>
        <family val="2"/>
      </rPr>
      <t>–</t>
    </r>
    <r>
      <rPr>
        <b/>
        <sz val="14"/>
        <color theme="1"/>
        <rFont val="Calibri"/>
        <family val="2"/>
        <scheme val="minor"/>
      </rPr>
      <t xml:space="preserve"> Debt Financing</t>
    </r>
  </si>
  <si>
    <r>
      <t xml:space="preserve">Hypo Office 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Calibri"/>
        <family val="2"/>
        <scheme val="minor"/>
      </rPr>
      <t xml:space="preserve"> Unleveraged DCF Analysis</t>
    </r>
  </si>
  <si>
    <t>Hypo Office Assumptions</t>
  </si>
  <si>
    <r>
      <t xml:space="preserve">Hypo Office </t>
    </r>
    <r>
      <rPr>
        <b/>
        <sz val="14"/>
        <color theme="1"/>
        <rFont val="Calibri"/>
        <family val="2"/>
      </rPr>
      <t>–</t>
    </r>
    <r>
      <rPr>
        <b/>
        <sz val="14"/>
        <color theme="1"/>
        <rFont val="Calibri"/>
        <family val="2"/>
        <scheme val="minor"/>
      </rPr>
      <t xml:space="preserve"> Leveraged DCF Analysis</t>
    </r>
  </si>
  <si>
    <t>Total Net Leveraged Cash Flow</t>
  </si>
  <si>
    <t>Total Net Unleveraged Cash Flow</t>
  </si>
  <si>
    <t>Leveraged DCF</t>
  </si>
  <si>
    <t>Equity Discount Rate</t>
  </si>
  <si>
    <t>WACC</t>
  </si>
  <si>
    <t>Capital Stack</t>
  </si>
  <si>
    <t>Market Rent/Sq. Ft.</t>
  </si>
  <si>
    <t>Market TI/Sq. Ft.</t>
  </si>
  <si>
    <t>Parking Rent/Stall</t>
  </si>
  <si>
    <r>
      <t xml:space="preserve">Hypo Office </t>
    </r>
    <r>
      <rPr>
        <b/>
        <sz val="14"/>
        <color theme="1"/>
        <rFont val="Calibri"/>
        <family val="2"/>
      </rPr>
      <t>–</t>
    </r>
    <r>
      <rPr>
        <b/>
        <sz val="14"/>
        <color theme="1"/>
        <rFont val="Calibri"/>
        <family val="2"/>
        <scheme val="minor"/>
      </rPr>
      <t xml:space="preserve"> Stabilized Pro Forma Year 6</t>
    </r>
  </si>
  <si>
    <r>
      <t xml:space="preserve">Hypo Office </t>
    </r>
    <r>
      <rPr>
        <b/>
        <sz val="14"/>
        <color theme="1"/>
        <rFont val="Calibri"/>
        <family val="2"/>
      </rPr>
      <t>–</t>
    </r>
    <r>
      <rPr>
        <b/>
        <sz val="14"/>
        <color theme="1"/>
        <rFont val="Calibri"/>
        <family val="2"/>
        <scheme val="minor"/>
      </rPr>
      <t xml:space="preserve"> Stabilized Pro Forma Year 1</t>
    </r>
  </si>
  <si>
    <t>Origination Points</t>
  </si>
  <si>
    <t>Inflation</t>
  </si>
  <si>
    <t>Leasing Expenses</t>
  </si>
  <si>
    <t>TI and Leasing Expenses</t>
  </si>
  <si>
    <t>Average Leasing Expenses (Market TI and Leasing Expenses)</t>
  </si>
  <si>
    <t>Escalation Rate</t>
  </si>
  <si>
    <t>Transaction Costs</t>
  </si>
  <si>
    <t>Rental Abatement Per Year</t>
  </si>
  <si>
    <t>Miscellaneous Income</t>
  </si>
  <si>
    <t>Annual Parking Rent</t>
  </si>
  <si>
    <t>Reversionary Value</t>
  </si>
  <si>
    <t>Initial Investment</t>
  </si>
  <si>
    <t>Annual Debt Service</t>
  </si>
  <si>
    <r>
      <t xml:space="preserve">Hypo Office </t>
    </r>
    <r>
      <rPr>
        <b/>
        <sz val="14"/>
        <color theme="1"/>
        <rFont val="Calibri"/>
        <family val="2"/>
      </rPr>
      <t>–</t>
    </r>
    <r>
      <rPr>
        <b/>
        <sz val="14"/>
        <color theme="1"/>
        <rFont val="Calibri"/>
        <family val="2"/>
        <scheme val="minor"/>
      </rPr>
      <t xml:space="preserve"> Unleveraged Net Cash Flows</t>
    </r>
  </si>
  <si>
    <r>
      <t xml:space="preserve">Hypo Office </t>
    </r>
    <r>
      <rPr>
        <b/>
        <sz val="14"/>
        <color theme="1"/>
        <rFont val="Calibri"/>
        <family val="2"/>
      </rPr>
      <t>–</t>
    </r>
    <r>
      <rPr>
        <b/>
        <sz val="14"/>
        <color theme="1"/>
        <rFont val="Calibri"/>
        <family val="2"/>
        <scheme val="minor"/>
      </rPr>
      <t xml:space="preserve"> Leveraged Net Cash Flows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</si>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</sst>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\-&quot;$&quot;#,##0.00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&quot;$&quot;* #,##0_-;\-&quot;$&quot;* #,##0_-;_-&quot;$&quot;* &quot;-&quot;??_-;_-@_-"/>
    <numFmt numFmtId="169" formatCode="_-* #,##0_-;\-* #,##0_-;_-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D5C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6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1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/>
    </xf>
    <xf numFmtId="165" fontId="0" fillId="0" borderId="0" xfId="0" applyNumberFormat="1"/>
    <xf numFmtId="0" fontId="2" fillId="2" borderId="0" xfId="0" applyFont="1" applyFill="1" applyAlignment="1">
      <alignment horizontal="center"/>
    </xf>
    <xf numFmtId="0" fontId="2" fillId="0" borderId="0" xfId="0" applyFont="1"/>
    <xf numFmtId="9" fontId="0" fillId="0" borderId="0" xfId="2" applyFont="1"/>
    <xf numFmtId="10" fontId="0" fillId="0" borderId="0" xfId="2" applyNumberFormat="1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166" fontId="0" fillId="0" borderId="0" xfId="1" applyFont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2" fontId="0" fillId="0" borderId="0" xfId="0" applyNumberFormat="1"/>
    <xf numFmtId="10" fontId="0" fillId="4" borderId="0" xfId="2" applyNumberFormat="1" applyFont="1" applyFill="1"/>
    <xf numFmtId="0" fontId="0" fillId="0" borderId="0" xfId="0"/>
    <xf numFmtId="169" fontId="0" fillId="0" borderId="0" xfId="25" applyNumberFormat="1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10" fontId="0" fillId="0" borderId="0" xfId="0" applyNumberFormat="1"/>
    <xf numFmtId="0" fontId="0" fillId="0" borderId="0" xfId="0"/>
    <xf numFmtId="0" fontId="2" fillId="0" borderId="0" xfId="0" applyFont="1" applyAlignment="1">
      <alignment horizontal="center" vertical="center"/>
    </xf>
    <xf numFmtId="10" fontId="0" fillId="0" borderId="0" xfId="2" applyNumberFormat="1" applyFont="1" applyFill="1" applyBorder="1"/>
    <xf numFmtId="166" fontId="0" fillId="0" borderId="0" xfId="1" applyFont="1" applyFill="1" applyBorder="1"/>
    <xf numFmtId="0" fontId="2" fillId="0" borderId="0" xfId="0" applyFont="1" applyAlignment="1"/>
    <xf numFmtId="0" fontId="0" fillId="0" borderId="0" xfId="0"/>
    <xf numFmtId="0" fontId="2" fillId="2" borderId="0" xfId="0" applyFont="1" applyFill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0" fillId="5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5" borderId="4" xfId="0" applyFill="1" applyBorder="1"/>
    <xf numFmtId="0" fontId="0" fillId="5" borderId="9" xfId="0" applyFill="1" applyBorder="1"/>
    <xf numFmtId="0" fontId="2" fillId="0" borderId="1" xfId="0" applyFont="1" applyFill="1" applyBorder="1" applyAlignment="1">
      <alignment horizontal="center"/>
    </xf>
    <xf numFmtId="10" fontId="0" fillId="5" borderId="1" xfId="2" applyNumberFormat="1" applyFont="1" applyFill="1" applyBorder="1"/>
    <xf numFmtId="0" fontId="2" fillId="0" borderId="1" xfId="0" applyFont="1" applyBorder="1" applyAlignment="1">
      <alignment horizontal="center"/>
    </xf>
    <xf numFmtId="166" fontId="0" fillId="5" borderId="1" xfId="1" applyFont="1" applyFill="1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9" fontId="0" fillId="0" borderId="1" xfId="2" applyFont="1" applyBorder="1" applyAlignment="1">
      <alignment horizontal="right"/>
    </xf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indent="1"/>
    </xf>
    <xf numFmtId="0" fontId="0" fillId="0" borderId="0" xfId="0" applyFont="1" applyFill="1" applyAlignment="1">
      <alignment horizontal="left" indent="1"/>
    </xf>
    <xf numFmtId="164" fontId="0" fillId="0" borderId="0" xfId="0" applyNumberFormat="1"/>
    <xf numFmtId="43" fontId="0" fillId="0" borderId="0" xfId="0" applyNumberFormat="1"/>
    <xf numFmtId="0" fontId="0" fillId="0" borderId="0" xfId="0"/>
    <xf numFmtId="0" fontId="2" fillId="2" borderId="0" xfId="0" applyFont="1" applyFill="1" applyBorder="1"/>
    <xf numFmtId="0" fontId="0" fillId="0" borderId="4" xfId="0" applyBorder="1"/>
    <xf numFmtId="0" fontId="2" fillId="0" borderId="0" xfId="0" applyFont="1" applyBorder="1"/>
    <xf numFmtId="0" fontId="0" fillId="0" borderId="0" xfId="0" applyBorder="1"/>
    <xf numFmtId="10" fontId="2" fillId="0" borderId="1" xfId="2" applyNumberFormat="1" applyFont="1" applyFill="1" applyBorder="1" applyAlignment="1">
      <alignment horizontal="center"/>
    </xf>
    <xf numFmtId="10" fontId="0" fillId="5" borderId="1" xfId="1" applyNumberFormat="1" applyFont="1" applyFill="1" applyBorder="1"/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left" indent="2"/>
    </xf>
    <xf numFmtId="0" fontId="2" fillId="0" borderId="0" xfId="0" applyFont="1" applyBorder="1" applyAlignment="1">
      <alignment horizontal="left" indent="1"/>
    </xf>
    <xf numFmtId="0" fontId="2" fillId="2" borderId="0" xfId="0" applyFont="1" applyFill="1" applyBorder="1" applyAlignment="1">
      <alignment horizontal="left"/>
    </xf>
    <xf numFmtId="8" fontId="0" fillId="0" borderId="0" xfId="0" applyNumberFormat="1"/>
    <xf numFmtId="0" fontId="0" fillId="0" borderId="0" xfId="0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right"/>
    </xf>
    <xf numFmtId="10" fontId="0" fillId="0" borderId="6" xfId="2" applyNumberFormat="1" applyFont="1" applyBorder="1"/>
    <xf numFmtId="0" fontId="0" fillId="0" borderId="0" xfId="0" applyBorder="1"/>
    <xf numFmtId="0" fontId="0" fillId="0" borderId="8" xfId="0" applyBorder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1" xfId="0" applyBorder="1"/>
    <xf numFmtId="9" fontId="0" fillId="5" borderId="1" xfId="2" applyFont="1" applyFill="1" applyBorder="1"/>
    <xf numFmtId="0" fontId="0" fillId="5" borderId="1" xfId="0" applyFill="1" applyBorder="1"/>
    <xf numFmtId="0" fontId="0" fillId="0" borderId="1" xfId="0" applyFill="1" applyBorder="1"/>
    <xf numFmtId="0" fontId="2" fillId="0" borderId="1" xfId="0" applyFont="1" applyFill="1" applyBorder="1"/>
    <xf numFmtId="0" fontId="7" fillId="5" borderId="1" xfId="25" applyNumberFormat="1" applyFont="1" applyFill="1" applyBorder="1"/>
    <xf numFmtId="37" fontId="0" fillId="0" borderId="0" xfId="0" applyNumberFormat="1"/>
    <xf numFmtId="169" fontId="0" fillId="0" borderId="6" xfId="25" applyNumberFormat="1" applyFont="1" applyBorder="1" applyAlignment="1">
      <alignment horizontal="right"/>
    </xf>
    <xf numFmtId="168" fontId="0" fillId="5" borderId="1" xfId="1" applyNumberFormat="1" applyFont="1" applyFill="1" applyBorder="1"/>
    <xf numFmtId="0" fontId="2" fillId="0" borderId="0" xfId="0" applyFont="1" applyFill="1"/>
    <xf numFmtId="0" fontId="0" fillId="0" borderId="0" xfId="0"/>
    <xf numFmtId="168" fontId="7" fillId="5" borderId="1" xfId="1" applyNumberFormat="1" applyFont="1" applyFill="1" applyBorder="1"/>
    <xf numFmtId="42" fontId="0" fillId="0" borderId="9" xfId="1" applyNumberFormat="1" applyFont="1" applyBorder="1"/>
    <xf numFmtId="42" fontId="0" fillId="0" borderId="6" xfId="1" applyNumberFormat="1" applyFont="1" applyBorder="1"/>
    <xf numFmtId="0" fontId="0" fillId="0" borderId="0" xfId="0"/>
    <xf numFmtId="0" fontId="0" fillId="0" borderId="0" xfId="0"/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8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10" borderId="2" xfId="0" applyFont="1" applyFill="1" applyBorder="1"/>
    <xf numFmtId="0" fontId="0" fillId="10" borderId="5" xfId="0" applyFill="1" applyBorder="1"/>
    <xf numFmtId="0" fontId="0" fillId="10" borderId="7" xfId="0" applyFill="1" applyBorder="1"/>
    <xf numFmtId="0" fontId="2" fillId="0" borderId="11" xfId="0" applyFont="1" applyBorder="1" applyAlignment="1">
      <alignment horizontal="center"/>
    </xf>
    <xf numFmtId="169" fontId="0" fillId="5" borderId="10" xfId="25" applyNumberFormat="1" applyFont="1" applyFill="1" applyBorder="1"/>
    <xf numFmtId="169" fontId="0" fillId="5" borderId="11" xfId="25" applyNumberFormat="1" applyFont="1" applyFill="1" applyBorder="1"/>
    <xf numFmtId="169" fontId="0" fillId="5" borderId="12" xfId="25" applyNumberFormat="1" applyFont="1" applyFill="1" applyBorder="1"/>
    <xf numFmtId="0" fontId="0" fillId="0" borderId="10" xfId="0" applyBorder="1"/>
    <xf numFmtId="0" fontId="2" fillId="0" borderId="11" xfId="0" applyFont="1" applyBorder="1" applyAlignment="1">
      <alignment horizontal="center" wrapText="1"/>
    </xf>
    <xf numFmtId="166" fontId="0" fillId="5" borderId="10" xfId="1" applyFont="1" applyFill="1" applyBorder="1"/>
    <xf numFmtId="166" fontId="0" fillId="5" borderId="11" xfId="1" applyFont="1" applyFill="1" applyBorder="1"/>
    <xf numFmtId="166" fontId="0" fillId="5" borderId="12" xfId="1" applyFont="1" applyFill="1" applyBorder="1"/>
    <xf numFmtId="10" fontId="0" fillId="5" borderId="10" xfId="2" applyNumberFormat="1" applyFont="1" applyFill="1" applyBorder="1"/>
    <xf numFmtId="10" fontId="0" fillId="5" borderId="11" xfId="2" applyNumberFormat="1" applyFont="1" applyFill="1" applyBorder="1"/>
    <xf numFmtId="10" fontId="0" fillId="5" borderId="12" xfId="2" applyNumberFormat="1" applyFont="1" applyFill="1" applyBorder="1"/>
    <xf numFmtId="0" fontId="8" fillId="0" borderId="11" xfId="0" applyFont="1" applyBorder="1" applyAlignment="1">
      <alignment horizontal="center"/>
    </xf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0" borderId="0" xfId="0" applyFont="1" applyBorder="1"/>
    <xf numFmtId="42" fontId="0" fillId="0" borderId="0" xfId="0" applyNumberFormat="1" applyBorder="1"/>
    <xf numFmtId="42" fontId="0" fillId="0" borderId="0" xfId="25" applyNumberFormat="1" applyFont="1" applyBorder="1"/>
    <xf numFmtId="42" fontId="0" fillId="0" borderId="0" xfId="0" applyNumberFormat="1" applyFill="1" applyBorder="1"/>
    <xf numFmtId="42" fontId="0" fillId="0" borderId="3" xfId="0" applyNumberFormat="1" applyBorder="1"/>
    <xf numFmtId="42" fontId="0" fillId="2" borderId="13" xfId="0" applyNumberFormat="1" applyFill="1" applyBorder="1"/>
    <xf numFmtId="42" fontId="0" fillId="2" borderId="14" xfId="0" applyNumberFormat="1" applyFill="1" applyBorder="1"/>
    <xf numFmtId="0" fontId="0" fillId="0" borderId="11" xfId="0" applyFill="1" applyBorder="1"/>
    <xf numFmtId="0" fontId="0" fillId="0" borderId="12" xfId="0" applyFill="1" applyBorder="1"/>
    <xf numFmtId="1" fontId="0" fillId="0" borderId="6" xfId="1" applyNumberFormat="1" applyFont="1" applyBorder="1"/>
    <xf numFmtId="1" fontId="0" fillId="0" borderId="9" xfId="1" applyNumberFormat="1" applyFont="1" applyBorder="1"/>
    <xf numFmtId="0" fontId="0" fillId="0" borderId="11" xfId="0" applyBorder="1"/>
    <xf numFmtId="0" fontId="0" fillId="0" borderId="12" xfId="0" applyBorder="1"/>
    <xf numFmtId="169" fontId="0" fillId="0" borderId="11" xfId="25" applyNumberFormat="1" applyFont="1" applyBorder="1"/>
    <xf numFmtId="169" fontId="0" fillId="0" borderId="12" xfId="25" applyNumberFormat="1" applyFont="1" applyBorder="1"/>
    <xf numFmtId="166" fontId="0" fillId="0" borderId="11" xfId="1" applyFont="1" applyBorder="1"/>
    <xf numFmtId="166" fontId="0" fillId="0" borderId="12" xfId="1" applyFont="1" applyBorder="1"/>
    <xf numFmtId="10" fontId="0" fillId="0" borderId="11" xfId="2" applyNumberFormat="1" applyFont="1" applyBorder="1"/>
    <xf numFmtId="10" fontId="0" fillId="0" borderId="12" xfId="2" applyNumberFormat="1" applyFont="1" applyBorder="1"/>
    <xf numFmtId="44" fontId="0" fillId="0" borderId="11" xfId="1" applyNumberFormat="1" applyFont="1" applyBorder="1"/>
    <xf numFmtId="44" fontId="0" fillId="0" borderId="12" xfId="1" applyNumberFormat="1" applyFont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0" xfId="0" applyFont="1" applyAlignment="1">
      <alignment horizontal="left" indent="1"/>
    </xf>
    <xf numFmtId="42" fontId="0" fillId="0" borderId="0" xfId="0" applyNumberFormat="1"/>
    <xf numFmtId="42" fontId="0" fillId="0" borderId="0" xfId="25" applyNumberFormat="1" applyFont="1"/>
    <xf numFmtId="42" fontId="0" fillId="2" borderId="3" xfId="0" applyNumberFormat="1" applyFill="1" applyBorder="1"/>
    <xf numFmtId="42" fontId="0" fillId="0" borderId="3" xfId="0" applyNumberFormat="1" applyFill="1" applyBorder="1"/>
    <xf numFmtId="42" fontId="0" fillId="2" borderId="15" xfId="0" applyNumberFormat="1" applyFill="1" applyBorder="1"/>
    <xf numFmtId="42" fontId="0" fillId="0" borderId="0" xfId="0" applyNumberFormat="1" applyFill="1"/>
    <xf numFmtId="42" fontId="0" fillId="0" borderId="0" xfId="25" applyNumberFormat="1" applyFont="1" applyFill="1"/>
    <xf numFmtId="0" fontId="6" fillId="0" borderId="0" xfId="0" applyFont="1" applyFill="1" applyAlignment="1">
      <alignment horizontal="center" vertical="center"/>
    </xf>
    <xf numFmtId="42" fontId="0" fillId="0" borderId="13" xfId="0" applyNumberFormat="1" applyFill="1" applyBorder="1"/>
    <xf numFmtId="0" fontId="2" fillId="0" borderId="0" xfId="0" applyFont="1" applyAlignment="1">
      <alignment wrapText="1"/>
    </xf>
    <xf numFmtId="0" fontId="2" fillId="8" borderId="0" xfId="0" applyFont="1" applyFill="1" applyAlignment="1">
      <alignment vertical="center"/>
    </xf>
    <xf numFmtId="0" fontId="2" fillId="8" borderId="0" xfId="0" applyFont="1" applyFill="1" applyAlignment="1">
      <alignment horizontal="center" vertical="center" wrapText="1"/>
    </xf>
    <xf numFmtId="0" fontId="0" fillId="0" borderId="0" xfId="0" applyBorder="1"/>
    <xf numFmtId="10" fontId="2" fillId="0" borderId="1" xfId="2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7" borderId="0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left"/>
    </xf>
    <xf numFmtId="0" fontId="2" fillId="9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10" fontId="2" fillId="0" borderId="0" xfId="2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6">
    <cellStyle name="Comma" xfId="25" builtinId="3"/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colors>
    <mruColors>
      <color rgb="FFFCD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CA" sz="1400"/>
              <a:t>Annual NOI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'Unleveraged Net Cash Flows'!$D$26:$H$26</c:f>
              <c:numCache>
                <c:formatCode>_("$"* #,##0_);_("$"* \(#,##0\);_("$"* "-"_);_(@_)</c:formatCode>
                <c:ptCount val="5"/>
                <c:pt idx="0">
                  <c:v>2705000</c:v>
                </c:pt>
                <c:pt idx="1">
                  <c:v>2707400</c:v>
                </c:pt>
                <c:pt idx="2">
                  <c:v>2709848</c:v>
                </c:pt>
                <c:pt idx="3">
                  <c:v>2712344.96</c:v>
                </c:pt>
                <c:pt idx="4">
                  <c:v>2714891.8591999998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A-4F4C-BC12-354D7BD46B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426013536"/>
        <c:axId val="-1426008640"/>
      </c:barChart>
      <c:catAx>
        <c:axId val="-1426013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-1426008640"/>
        <c:crosses val="autoZero"/>
        <c:auto val="1"/>
        <c:lblAlgn val="ctr"/>
        <c:lblOffset val="100"/>
        <c:noMultiLvlLbl val="0"/>
      </c:catAx>
      <c:valAx>
        <c:axId val="-1426008640"/>
        <c:scaling>
          <c:orientation val="minMax"/>
        </c:scaling>
        <c:delete val="1"/>
        <c:axPos val="l"/>
        <c:numFmt formatCode="_(&quot;$&quot;* #,##0_);_(&quot;$&quot;* \(#,##0\);_(&quot;$&quot;* &quot;-&quot;_);_(@_)" sourceLinked="1"/>
        <c:majorTickMark val="none"/>
        <c:minorTickMark val="none"/>
        <c:tickLblPos val="nextTo"/>
        <c:crossAx val="-1426013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400"/>
              <a:t>Cash</a:t>
            </a:r>
            <a:r>
              <a:rPr lang="en-CA" sz="1400" baseline="0"/>
              <a:t> Flow (Unleveraged)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'Unleveraged Net Cash Flows'!$C$33:$H$33</c:f>
              <c:numCache>
                <c:formatCode>_("$"* #,##0_);_("$"* \(#,##0\);_("$"* "-"_);_(@_)</c:formatCode>
                <c:ptCount val="6"/>
                <c:pt idx="0">
                  <c:v>-34000000</c:v>
                </c:pt>
                <c:pt idx="1">
                  <c:v>2677950</c:v>
                </c:pt>
                <c:pt idx="2">
                  <c:v>2680326</c:v>
                </c:pt>
                <c:pt idx="3">
                  <c:v>2682749.52</c:v>
                </c:pt>
                <c:pt idx="4">
                  <c:v>2685221.5104</c:v>
                </c:pt>
                <c:pt idx="5">
                  <c:v>40268261.490475871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6-48F5-AC50-93EF829BA7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426009184"/>
        <c:axId val="-1426014080"/>
      </c:barChart>
      <c:catAx>
        <c:axId val="-1426009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-1426014080"/>
        <c:crosses val="autoZero"/>
        <c:auto val="1"/>
        <c:lblAlgn val="ctr"/>
        <c:lblOffset val="100"/>
        <c:noMultiLvlLbl val="0"/>
      </c:catAx>
      <c:valAx>
        <c:axId val="-1426014080"/>
        <c:scaling>
          <c:orientation val="minMax"/>
        </c:scaling>
        <c:delete val="1"/>
        <c:axPos val="l"/>
        <c:numFmt formatCode="_(&quot;$&quot;* #,##0_);_(&quot;$&quot;* \(#,##0\);_(&quot;$&quot;* &quot;-&quot;_);_(@_)" sourceLinked="1"/>
        <c:majorTickMark val="out"/>
        <c:minorTickMark val="none"/>
        <c:tickLblPos val="nextTo"/>
        <c:crossAx val="-1426009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400"/>
              <a:t>Cash Flow</a:t>
            </a:r>
            <a:r>
              <a:rPr lang="en-CA" sz="1400" baseline="0"/>
              <a:t> (Leveraged)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5555555555556E-2"/>
          <c:y val="0.222106663750365"/>
          <c:w val="0.93888888888888899"/>
          <c:h val="0.7547451881014870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'Leveraged Net Cash Flows'!$C$43:$H$43</c:f>
              <c:numCache>
                <c:formatCode>_("$"* #,##0_);_("$"* \(#,##0\);_("$"* "-"_);_(@_)</c:formatCode>
                <c:ptCount val="6"/>
                <c:pt idx="0">
                  <c:v>-13493912.965512056</c:v>
                </c:pt>
                <c:pt idx="1">
                  <c:v>957825.00000000885</c:v>
                </c:pt>
                <c:pt idx="2">
                  <c:v>960201.00000000885</c:v>
                </c:pt>
                <c:pt idx="3">
                  <c:v>962624.52000000887</c:v>
                </c:pt>
                <c:pt idx="4">
                  <c:v>965096.51040000888</c:v>
                </c:pt>
                <c:pt idx="5">
                  <c:v>19558293.146210868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5-4572-B860-F33DDBB8DD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426011904"/>
        <c:axId val="-1426001024"/>
      </c:barChart>
      <c:catAx>
        <c:axId val="-1426011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-1426001024"/>
        <c:crosses val="autoZero"/>
        <c:auto val="1"/>
        <c:lblAlgn val="ctr"/>
        <c:lblOffset val="100"/>
        <c:noMultiLvlLbl val="0"/>
      </c:catAx>
      <c:valAx>
        <c:axId val="-1426001024"/>
        <c:scaling>
          <c:orientation val="minMax"/>
        </c:scaling>
        <c:delete val="1"/>
        <c:axPos val="l"/>
        <c:numFmt formatCode="_(&quot;$&quot;* #,##0_);_(&quot;$&quot;* \(#,##0\);_(&quot;$&quot;* &quot;-&quot;_);_(@_)" sourceLinked="1"/>
        <c:majorTickMark val="out"/>
        <c:minorTickMark val="none"/>
        <c:tickLblPos val="nextTo"/>
        <c:crossAx val="-1426011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CA" sz="1400"/>
              <a:t>Amortization Schedule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'Debt Financing'!$E$8</c:f>
              <c:strCache>
                <c:ptCount val="1"/>
                <c:pt idx="0">
                  <c:v>Interest Payment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'Debt Financing'!$F$8:$J$8</c:f>
              <c:numCache>
                <c:formatCode>_("$"* #,##0_);_("$"* \(#,##0\);_("$"* "-"_);_(@_)</c:formatCode>
                <c:ptCount val="5"/>
                <c:pt idx="0">
                  <c:v>1382777.6514357165</c:v>
                </c:pt>
                <c:pt idx="1">
                  <c:v>1359622.4456934035</c:v>
                </c:pt>
                <c:pt idx="2">
                  <c:v>1334877.8883369437</c:v>
                </c:pt>
                <c:pt idx="3">
                  <c:v>1308434.8877615589</c:v>
                </c:pt>
                <c:pt idx="4">
                  <c:v>1280176.8644169928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688-4024-AD65-0644D976BEA4}"/>
            </c:ext>
          </c:extLst>
        </c:ser>
        <c:ser>
          <c:idx val="1"/>
          <c:order val="1"/>
          <c:tx>
            <c:strRef>
              <c:f>'Debt Financing'!$E$9</c:f>
              <c:strCache>
                <c:ptCount val="1"/>
                <c:pt idx="0">
                  <c:v>Principal Payment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'Debt Financing'!$F$9:$J$9</c:f>
              <c:numCache>
                <c:formatCode>_("$"* #,##0_);_("$"* \(#,##0\);_("$"* "-"_);_(@_)</c:formatCode>
                <c:ptCount val="5"/>
                <c:pt idx="0">
                  <c:v>337347.34856427461</c:v>
                </c:pt>
                <c:pt idx="1">
                  <c:v>360502.55430658767</c:v>
                </c:pt>
                <c:pt idx="2">
                  <c:v>385247.11166304746</c:v>
                </c:pt>
                <c:pt idx="3">
                  <c:v>411690.11223843228</c:v>
                </c:pt>
                <c:pt idx="4">
                  <c:v>439948.13558299839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688-4024-AD65-0644D976B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26007008"/>
        <c:axId val="-1426010816"/>
      </c:lineChart>
      <c:catAx>
        <c:axId val="-142600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426010816"/>
        <c:crosses val="autoZero"/>
        <c:auto val="1"/>
        <c:lblAlgn val="ctr"/>
        <c:lblOffset val="100"/>
        <c:noMultiLvlLbl val="0"/>
      </c:catAx>
      <c:valAx>
        <c:axId val="-1426010816"/>
        <c:scaling>
          <c:orientation val="minMax"/>
        </c:scaling>
        <c:delete val="0"/>
        <c:axPos val="l"/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ln w="9525">
            <a:noFill/>
          </a:ln>
        </c:spPr>
        <c:crossAx val="-1426007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'Debt Financing'!$E$8</c:f>
              <c:strCache>
                <c:ptCount val="1"/>
                <c:pt idx="0">
                  <c:v>Interest Payment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'Debt Financing'!$F$8:$J$8</c:f>
              <c:numCache>
                <c:formatCode>_("$"* #,##0_);_("$"* \(#,##0\);_("$"* "-"_);_(@_)</c:formatCode>
                <c:ptCount val="5"/>
                <c:pt idx="0">
                  <c:v>1382777.6514357165</c:v>
                </c:pt>
                <c:pt idx="1">
                  <c:v>1359622.4456934035</c:v>
                </c:pt>
                <c:pt idx="2">
                  <c:v>1334877.8883369437</c:v>
                </c:pt>
                <c:pt idx="3">
                  <c:v>1308434.8877615589</c:v>
                </c:pt>
                <c:pt idx="4">
                  <c:v>1280176.8644169928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619-45D0-8B1C-338F501A29B1}"/>
            </c:ext>
          </c:extLst>
        </c:ser>
        <c:ser>
          <c:idx val="1"/>
          <c:order val="1"/>
          <c:tx>
            <c:strRef>
              <c:f>'Debt Financing'!$E$9</c:f>
              <c:strCache>
                <c:ptCount val="1"/>
                <c:pt idx="0">
                  <c:v>Principal Payment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'Debt Financing'!$F$9:$J$9</c:f>
              <c:numCache>
                <c:formatCode>_("$"* #,##0_);_("$"* \(#,##0\);_("$"* "-"_);_(@_)</c:formatCode>
                <c:ptCount val="5"/>
                <c:pt idx="0">
                  <c:v>337347.34856427461</c:v>
                </c:pt>
                <c:pt idx="1">
                  <c:v>360502.55430658767</c:v>
                </c:pt>
                <c:pt idx="2">
                  <c:v>385247.11166304746</c:v>
                </c:pt>
                <c:pt idx="3">
                  <c:v>411690.11223843228</c:v>
                </c:pt>
                <c:pt idx="4">
                  <c:v>439948.13558299839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619-45D0-8B1C-338F501A2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26005376"/>
        <c:axId val="-1426012992"/>
      </c:lineChart>
      <c:catAx>
        <c:axId val="-142600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426012992"/>
        <c:crosses val="autoZero"/>
        <c:auto val="1"/>
        <c:lblAlgn val="ctr"/>
        <c:lblOffset val="100"/>
        <c:noMultiLvlLbl val="0"/>
      </c:catAx>
      <c:valAx>
        <c:axId val="-1426012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Payment</a:t>
                </a:r>
                <a:r>
                  <a:rPr lang="en-US" baseline="0"/>
                  <a:t> ($)</a:t>
                </a:r>
              </a:p>
              <a:p>
                <a:pPr>
                  <a:defRPr/>
                </a:pPr>
                <a:endParaRPr lang="en-US" baseline="0"/>
              </a:p>
            </c:rich>
          </c:tx>
          <c:overlay val="0"/>
        </c:title>
        <c:numFmt formatCode="_(&quot;$&quot;* #,##0_);_(&quot;$&quot;* \(#,##0\);_(&quot;$&quot;* &quot;-&quot;_);_(@_)" sourceLinked="1"/>
        <c:majorTickMark val="none"/>
        <c:minorTickMark val="none"/>
        <c:tickLblPos val="nextTo"/>
        <c:crossAx val="-14260053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C735-487B-B5BE-8B0945BBB9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cap="all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'Leveraged DCF Analysis'!$B$9:$B$10</c:f>
              <c:strCache>
                <c:ptCount val="2"/>
                <c:pt idx="0">
                  <c:v>r'</c:v>
                </c:pt>
                <c:pt idx="1">
                  <c:v>rd</c:v>
                </c:pt>
              </c:strCache>
            </c:strRef>
          </c:cat>
          <c:val>
            <c:numRef>
              <c:f>'Leveraged DCF Analysis'!$C$9:$C$10</c:f>
              <c:numCache>
                <c:formatCode>0.00%</c:formatCode>
                <c:ptCount val="2"/>
                <c:pt idx="0">
                  <c:v>0.38833557636797827</c:v>
                </c:pt>
                <c:pt idx="1">
                  <c:v>0.61166442363202167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5-487B-B5BE-8B0945BBB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40</xdr:row>
      <xdr:rowOff>190474</xdr:rowOff>
    </xdr:from>
    <xdr:to>
      <xdr:col>12</xdr:col>
      <xdr:colOff>262077</xdr:colOff>
      <xdr:row>54</xdr:row>
      <xdr:rowOff>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581567</xdr:colOff>
      <xdr:row>40</xdr:row>
      <xdr:rowOff>204081</xdr:rowOff>
    </xdr:from>
    <xdr:to>
      <xdr:col>17</xdr:col>
      <xdr:colOff>0</xdr:colOff>
      <xdr:row>54</xdr:row>
      <xdr:rowOff>0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588962</xdr:colOff>
      <xdr:row>59</xdr:row>
      <xdr:rowOff>190471</xdr:rowOff>
    </xdr:from>
    <xdr:to>
      <xdr:col>17</xdr:col>
      <xdr:colOff>0</xdr:colOff>
      <xdr:row>69</xdr:row>
      <xdr:rowOff>122845</xdr:rowOff>
    </xdr:to>
    <xdr:graphicFrame macro="">
      <xdr:nvGraphicFramePr>
        <xdr:cNvPr id="4" name="Chart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59</xdr:row>
      <xdr:rowOff>190471</xdr:rowOff>
    </xdr:from>
    <xdr:to>
      <xdr:col>12</xdr:col>
      <xdr:colOff>273430</xdr:colOff>
      <xdr:row>69</xdr:row>
      <xdr:rowOff>134093</xdr:rowOff>
    </xdr:to>
    <xdr:graphicFrame macro="">
      <xdr:nvGraphicFramePr>
        <xdr:cNvPr id="10" name="Chart 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48252</xdr:colOff>
      <xdr:row>5</xdr:row>
      <xdr:rowOff>1</xdr:rowOff>
    </xdr:from>
    <xdr:to>
      <xdr:col>12</xdr:col>
      <xdr:colOff>771524</xdr:colOff>
      <xdr:row>15</xdr:row>
      <xdr:rowOff>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3815" y="1012032"/>
          <a:ext cx="4057022" cy="2428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12</xdr:row>
      <xdr:rowOff>196850</xdr:rowOff>
    </xdr:from>
    <xdr:to>
      <xdr:col>9</xdr:col>
      <xdr:colOff>815975</xdr:colOff>
      <xdr:row>26</xdr:row>
      <xdr:rowOff>184150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673100</xdr:colOff>
      <xdr:row>4</xdr:row>
      <xdr:rowOff>88900</xdr:rowOff>
    </xdr:from>
    <xdr:to>
      <xdr:col>9</xdr:col>
      <xdr:colOff>584200</xdr:colOff>
      <xdr:row>12</xdr:row>
      <xdr:rowOff>158750</xdr:rowOff>
    </xdr:to>
    <xdr:graphicFrame macro="">
      <xdr:nvGraphicFramePr>
        <xdr:cNvPr id="2" name="Chart 1" title="Capital Structur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U74"/>
  <sheetViews>
    <sheetView showGridLines="0" tabSelected="1" topLeftCell="B1" zoomScale="80" zoomScaleNormal="80" zoomScalePageLayoutView="80" workbookViewId="0">
      <selection activeCell="B23" sqref="B23"/>
    </sheetView>
  </sheetViews>
  <sheetFormatPr defaultColWidth="11" defaultRowHeight="15.75" x14ac:dyDescent="0.25"/>
  <cols>
    <col min="2" max="2" width="34" bestFit="1" customWidth="1"/>
    <col min="3" max="3" width="14.625" bestFit="1" customWidth="1"/>
    <col min="4" max="5" width="16.625" customWidth="1"/>
    <col min="6" max="6" width="14.625" bestFit="1" customWidth="1"/>
    <col min="7" max="7" width="15.625" bestFit="1" customWidth="1"/>
    <col min="17" max="17" width="15.875" bestFit="1" customWidth="1"/>
    <col min="21" max="21" width="13.5" bestFit="1" customWidth="1"/>
    <col min="23" max="23" width="17.125" bestFit="1" customWidth="1"/>
  </cols>
  <sheetData>
    <row r="3" spans="2:17" x14ac:dyDescent="0.25">
      <c r="B3" s="173" t="s">
        <v>155</v>
      </c>
      <c r="C3" s="174"/>
      <c r="D3" s="174"/>
      <c r="E3" s="174"/>
      <c r="F3" s="174"/>
      <c r="G3" s="175"/>
      <c r="I3" s="173" t="s">
        <v>69</v>
      </c>
      <c r="J3" s="174"/>
      <c r="K3" s="174"/>
      <c r="L3" s="174"/>
      <c r="M3" s="174"/>
      <c r="N3" s="174"/>
      <c r="O3" s="174"/>
      <c r="P3" s="174"/>
      <c r="Q3" s="175"/>
    </row>
    <row r="4" spans="2:17" x14ac:dyDescent="0.25">
      <c r="B4" s="176"/>
      <c r="C4" s="177"/>
      <c r="D4" s="177"/>
      <c r="E4" s="177"/>
      <c r="F4" s="177"/>
      <c r="G4" s="178"/>
      <c r="I4" s="176"/>
      <c r="J4" s="177"/>
      <c r="K4" s="177"/>
      <c r="L4" s="177"/>
      <c r="M4" s="177"/>
      <c r="N4" s="177"/>
      <c r="O4" s="177"/>
      <c r="P4" s="177"/>
      <c r="Q4" s="178"/>
    </row>
    <row r="5" spans="2:17" x14ac:dyDescent="0.25">
      <c r="B5" s="28"/>
      <c r="C5" s="8"/>
      <c r="D5" s="8"/>
      <c r="E5" s="8"/>
      <c r="F5" s="8"/>
      <c r="G5" s="29"/>
      <c r="I5" s="28"/>
      <c r="J5" s="54"/>
      <c r="K5" s="54"/>
      <c r="L5" s="54"/>
      <c r="M5" s="54"/>
      <c r="N5" s="54"/>
      <c r="O5" s="54"/>
      <c r="P5" s="54"/>
      <c r="Q5" s="29"/>
    </row>
    <row r="6" spans="2:17" x14ac:dyDescent="0.25">
      <c r="B6" s="179" t="s">
        <v>92</v>
      </c>
      <c r="C6" s="171"/>
      <c r="D6" s="171"/>
      <c r="E6" s="171"/>
      <c r="F6" s="171"/>
      <c r="G6" s="172"/>
      <c r="I6" s="28"/>
      <c r="J6" s="54"/>
      <c r="K6" s="54"/>
      <c r="L6" s="54"/>
      <c r="M6" s="54"/>
      <c r="N6" s="169" t="s">
        <v>119</v>
      </c>
      <c r="O6" s="169"/>
      <c r="P6" s="169"/>
      <c r="Q6" s="170"/>
    </row>
    <row r="7" spans="2:17" x14ac:dyDescent="0.25">
      <c r="B7" s="28"/>
      <c r="C7" s="8"/>
      <c r="D7" s="8"/>
      <c r="E7" s="8"/>
      <c r="F7" s="8"/>
      <c r="G7" s="29"/>
      <c r="I7" s="28"/>
      <c r="J7" s="54"/>
      <c r="K7" s="54"/>
      <c r="L7" s="54"/>
      <c r="M7" s="54"/>
      <c r="N7" s="169"/>
      <c r="O7" s="169"/>
      <c r="P7" s="169"/>
      <c r="Q7" s="170"/>
    </row>
    <row r="8" spans="2:17" ht="31.5" x14ac:dyDescent="0.25">
      <c r="B8" s="28"/>
      <c r="C8" s="39" t="s">
        <v>97</v>
      </c>
      <c r="D8" s="101" t="s">
        <v>163</v>
      </c>
      <c r="E8" s="39" t="s">
        <v>55</v>
      </c>
      <c r="F8" s="159" t="s">
        <v>164</v>
      </c>
      <c r="G8" s="37" t="s">
        <v>83</v>
      </c>
      <c r="I8" s="28"/>
      <c r="J8" s="54"/>
      <c r="K8" s="54"/>
      <c r="L8" s="54"/>
      <c r="M8" s="54"/>
      <c r="N8" s="63"/>
      <c r="O8" s="63"/>
      <c r="P8" s="63"/>
      <c r="Q8" s="64"/>
    </row>
    <row r="9" spans="2:17" x14ac:dyDescent="0.25">
      <c r="B9" s="28"/>
      <c r="C9" s="38">
        <v>0.02</v>
      </c>
      <c r="D9" s="40">
        <v>25</v>
      </c>
      <c r="E9" s="38">
        <v>7.4999999999999997E-2</v>
      </c>
      <c r="F9" s="40">
        <v>0</v>
      </c>
      <c r="G9" s="56">
        <v>0.02</v>
      </c>
      <c r="I9" s="28"/>
      <c r="J9" s="54"/>
      <c r="K9" s="54"/>
      <c r="L9" s="54"/>
      <c r="M9" s="54"/>
      <c r="N9" s="171" t="s">
        <v>56</v>
      </c>
      <c r="O9" s="171"/>
      <c r="P9" s="171"/>
      <c r="Q9" s="172"/>
    </row>
    <row r="10" spans="2:17" s="21" customFormat="1" x14ac:dyDescent="0.25">
      <c r="B10" s="30"/>
      <c r="C10" s="23"/>
      <c r="D10" s="24"/>
      <c r="E10" s="23"/>
      <c r="F10" s="24"/>
      <c r="G10" s="29"/>
      <c r="I10" s="28"/>
      <c r="J10" s="54"/>
      <c r="K10" s="54"/>
      <c r="L10" s="54"/>
      <c r="M10" s="54"/>
      <c r="N10" s="54"/>
      <c r="O10" s="54"/>
      <c r="P10" s="54"/>
      <c r="Q10" s="29"/>
    </row>
    <row r="11" spans="2:17" s="21" customFormat="1" ht="31.5" x14ac:dyDescent="0.25">
      <c r="B11" s="30"/>
      <c r="C11" s="101" t="s">
        <v>165</v>
      </c>
      <c r="D11" s="37" t="s">
        <v>94</v>
      </c>
      <c r="E11" s="55" t="s">
        <v>95</v>
      </c>
      <c r="F11" s="158" t="s">
        <v>174</v>
      </c>
      <c r="G11" s="55" t="s">
        <v>96</v>
      </c>
      <c r="I11" s="28"/>
      <c r="J11" s="54"/>
      <c r="K11" s="54"/>
      <c r="L11" s="54"/>
      <c r="M11" s="54"/>
      <c r="N11" s="54" t="s">
        <v>35</v>
      </c>
      <c r="O11" s="54"/>
      <c r="P11" s="54"/>
      <c r="Q11" s="65" t="s">
        <v>37</v>
      </c>
    </row>
    <row r="12" spans="2:17" s="21" customFormat="1" x14ac:dyDescent="0.25">
      <c r="B12" s="30"/>
      <c r="C12" s="82">
        <v>1200</v>
      </c>
      <c r="D12" s="38">
        <v>7.0000000000000007E-2</v>
      </c>
      <c r="E12" s="38">
        <v>7.0000000000000007E-2</v>
      </c>
      <c r="F12" s="38">
        <v>0.03</v>
      </c>
      <c r="G12" s="38">
        <v>0.01</v>
      </c>
      <c r="I12" s="28"/>
      <c r="J12" s="54"/>
      <c r="K12" s="54"/>
      <c r="L12" s="54"/>
      <c r="M12" s="54"/>
      <c r="N12" s="54" t="s">
        <v>36</v>
      </c>
      <c r="O12" s="54"/>
      <c r="P12" s="54"/>
      <c r="Q12" s="81">
        <f>SUM(G21:G23)</f>
        <v>100000</v>
      </c>
    </row>
    <row r="13" spans="2:17" x14ac:dyDescent="0.25">
      <c r="B13" s="28"/>
      <c r="C13" s="72"/>
      <c r="D13" s="71"/>
      <c r="E13" s="71"/>
      <c r="F13" s="71"/>
      <c r="G13" s="52"/>
      <c r="I13" s="28"/>
      <c r="J13" s="54"/>
      <c r="K13" s="54"/>
      <c r="L13" s="54"/>
      <c r="M13" s="54"/>
      <c r="N13" s="54" t="s">
        <v>38</v>
      </c>
      <c r="O13" s="54"/>
      <c r="P13" s="54"/>
      <c r="Q13" s="65">
        <v>3</v>
      </c>
    </row>
    <row r="14" spans="2:17" x14ac:dyDescent="0.25">
      <c r="B14" s="28"/>
      <c r="C14" s="39" t="s">
        <v>170</v>
      </c>
      <c r="D14" s="84"/>
      <c r="E14" s="71"/>
      <c r="F14" s="71"/>
      <c r="G14" s="29"/>
      <c r="I14" s="28"/>
      <c r="J14" s="54"/>
      <c r="K14" s="54"/>
      <c r="L14" s="54"/>
      <c r="M14" s="54"/>
      <c r="N14" s="54" t="s">
        <v>46</v>
      </c>
      <c r="O14" s="54"/>
      <c r="P14" s="54"/>
      <c r="Q14" s="65">
        <f>SUM(G26:G28)</f>
        <v>100</v>
      </c>
    </row>
    <row r="15" spans="2:17" x14ac:dyDescent="0.25">
      <c r="B15" s="28"/>
      <c r="C15" s="75">
        <v>0</v>
      </c>
      <c r="D15" s="84"/>
      <c r="E15" s="71"/>
      <c r="F15" s="71"/>
      <c r="G15" s="29"/>
      <c r="I15" s="28"/>
      <c r="J15" s="54"/>
      <c r="K15" s="54"/>
      <c r="L15" s="54"/>
      <c r="M15" s="54"/>
      <c r="N15" s="54"/>
      <c r="O15" s="54"/>
      <c r="P15" s="54"/>
      <c r="Q15" s="29"/>
    </row>
    <row r="16" spans="2:17" x14ac:dyDescent="0.25">
      <c r="B16" s="28"/>
      <c r="C16" s="8"/>
      <c r="G16" s="29"/>
      <c r="I16" s="28"/>
      <c r="J16" s="54"/>
      <c r="K16" s="54"/>
      <c r="L16" s="54"/>
      <c r="M16" s="54"/>
      <c r="N16" s="171" t="s">
        <v>57</v>
      </c>
      <c r="O16" s="171"/>
      <c r="P16" s="171"/>
      <c r="Q16" s="172"/>
    </row>
    <row r="17" spans="2:21" x14ac:dyDescent="0.25">
      <c r="B17" s="179" t="s">
        <v>54</v>
      </c>
      <c r="C17" s="171"/>
      <c r="D17" s="171"/>
      <c r="E17" s="171"/>
      <c r="F17" s="171"/>
      <c r="G17" s="172"/>
      <c r="I17" s="28"/>
      <c r="J17" s="54"/>
      <c r="K17" s="54"/>
      <c r="L17" s="54"/>
      <c r="M17" s="54"/>
      <c r="N17" s="54"/>
      <c r="O17" s="54"/>
      <c r="P17" s="54"/>
      <c r="Q17" s="29"/>
    </row>
    <row r="18" spans="2:21" x14ac:dyDescent="0.25">
      <c r="B18" s="28"/>
      <c r="C18" s="8"/>
      <c r="D18" s="8"/>
      <c r="E18" s="8"/>
      <c r="F18" s="8"/>
      <c r="G18" s="29"/>
      <c r="I18" s="28"/>
      <c r="J18" s="54"/>
      <c r="K18" s="54"/>
      <c r="L18" s="54"/>
      <c r="M18" s="54"/>
      <c r="N18" s="54" t="s">
        <v>88</v>
      </c>
      <c r="O18" s="54"/>
      <c r="P18" s="54"/>
      <c r="Q18" s="87">
        <f>'Stabilized Proforma NOI (YR 1)'!C22</f>
        <v>2408175</v>
      </c>
    </row>
    <row r="19" spans="2:21" x14ac:dyDescent="0.25">
      <c r="B19" s="28"/>
      <c r="C19" s="161" t="s">
        <v>42</v>
      </c>
      <c r="D19" s="163"/>
      <c r="E19" s="161" t="s">
        <v>43</v>
      </c>
      <c r="F19" s="163"/>
      <c r="G19" s="90"/>
      <c r="I19" s="28"/>
      <c r="J19" s="54"/>
      <c r="K19" s="54"/>
      <c r="L19" s="54"/>
      <c r="M19" s="54"/>
      <c r="N19" s="54" t="s">
        <v>39</v>
      </c>
      <c r="O19" s="54"/>
      <c r="P19" s="54"/>
      <c r="Q19" s="87">
        <f>IF(G68="",(Q18/D12)+((Q18/D12)*F12),G68)</f>
        <v>34000000</v>
      </c>
    </row>
    <row r="20" spans="2:21" x14ac:dyDescent="0.25">
      <c r="B20" s="28"/>
      <c r="C20" s="93" t="s">
        <v>44</v>
      </c>
      <c r="D20" s="92" t="s">
        <v>45</v>
      </c>
      <c r="E20" s="93" t="s">
        <v>44</v>
      </c>
      <c r="F20" s="92" t="s">
        <v>45</v>
      </c>
      <c r="G20" s="105" t="s">
        <v>41</v>
      </c>
      <c r="I20" s="28"/>
      <c r="J20" s="54"/>
      <c r="K20" s="54"/>
      <c r="L20" s="54"/>
      <c r="M20" s="54"/>
      <c r="N20" s="54" t="s">
        <v>59</v>
      </c>
      <c r="O20" s="54"/>
      <c r="P20" s="54"/>
      <c r="Q20" s="87">
        <f>'Stabilized Proforma NOI (YR 6)'!C22</f>
        <v>2711996.1840110836</v>
      </c>
    </row>
    <row r="21" spans="2:21" x14ac:dyDescent="0.25">
      <c r="B21" s="102" t="s">
        <v>68</v>
      </c>
      <c r="C21" s="118">
        <v>1</v>
      </c>
      <c r="D21" s="35">
        <v>1</v>
      </c>
      <c r="E21" s="118">
        <v>5</v>
      </c>
      <c r="F21" s="35">
        <v>12</v>
      </c>
      <c r="G21" s="106">
        <v>40000</v>
      </c>
      <c r="I21" s="28"/>
      <c r="J21" s="54"/>
      <c r="K21" s="54"/>
      <c r="L21" s="54"/>
      <c r="M21" s="54"/>
      <c r="N21" s="54" t="s">
        <v>58</v>
      </c>
      <c r="O21" s="54"/>
      <c r="P21" s="54"/>
      <c r="Q21" s="87">
        <f>IF(G69="",(Q20/E12)-((Q20/E12)*F12),G69)</f>
        <v>37580518.549867868</v>
      </c>
    </row>
    <row r="22" spans="2:21" x14ac:dyDescent="0.25">
      <c r="B22" s="103" t="s">
        <v>67</v>
      </c>
      <c r="C22" s="119">
        <v>1</v>
      </c>
      <c r="D22" s="31">
        <v>1</v>
      </c>
      <c r="E22" s="119">
        <v>5</v>
      </c>
      <c r="F22" s="31">
        <v>12</v>
      </c>
      <c r="G22" s="107">
        <v>35000</v>
      </c>
      <c r="I22" s="28"/>
      <c r="J22" s="54"/>
      <c r="K22" s="54"/>
      <c r="L22" s="54"/>
      <c r="M22" s="54"/>
      <c r="N22" s="54" t="s">
        <v>113</v>
      </c>
      <c r="O22" s="54"/>
      <c r="P22" s="54"/>
      <c r="Q22" s="66">
        <f>'Leveraged Net Cash Flows'!C35</f>
        <v>9.6270617709149464E-2</v>
      </c>
    </row>
    <row r="23" spans="2:21" x14ac:dyDescent="0.25">
      <c r="B23" s="104" t="s">
        <v>183</v>
      </c>
      <c r="C23" s="120">
        <v>1</v>
      </c>
      <c r="D23" s="36">
        <v>1</v>
      </c>
      <c r="E23" s="120">
        <v>5</v>
      </c>
      <c r="F23" s="36">
        <v>12</v>
      </c>
      <c r="G23" s="108">
        <v>25000</v>
      </c>
      <c r="I23" s="28"/>
      <c r="J23" s="54"/>
      <c r="K23" s="54"/>
      <c r="L23" s="54"/>
      <c r="M23" s="54"/>
      <c r="N23" s="62" t="s">
        <v>114</v>
      </c>
      <c r="O23" s="62"/>
      <c r="P23" s="62"/>
      <c r="Q23" s="87">
        <f>'Unleveraged DCF Analysis'!C17</f>
        <v>34858272.122094437</v>
      </c>
    </row>
    <row r="24" spans="2:21" x14ac:dyDescent="0.25">
      <c r="B24" s="28"/>
      <c r="C24" s="109"/>
      <c r="D24" s="109"/>
      <c r="E24" s="109"/>
      <c r="F24" s="109"/>
      <c r="G24" s="29"/>
      <c r="I24" s="28"/>
      <c r="J24" s="54"/>
      <c r="K24" s="54"/>
      <c r="L24" s="54"/>
      <c r="M24" s="54"/>
      <c r="N24" s="54" t="s">
        <v>115</v>
      </c>
      <c r="O24" s="54"/>
      <c r="P24" s="54"/>
      <c r="Q24" s="87">
        <f>'Unleveraged DCF Analysis'!C18</f>
        <v>858272.12209443748</v>
      </c>
      <c r="U24" s="16"/>
    </row>
    <row r="25" spans="2:21" x14ac:dyDescent="0.25">
      <c r="B25" s="28"/>
      <c r="C25" s="110" t="s">
        <v>105</v>
      </c>
      <c r="D25" s="105" t="s">
        <v>106</v>
      </c>
      <c r="E25" s="105" t="s">
        <v>107</v>
      </c>
      <c r="F25" s="117" t="s">
        <v>108</v>
      </c>
      <c r="G25" s="92" t="s">
        <v>46</v>
      </c>
      <c r="I25" s="28"/>
      <c r="J25" s="54"/>
      <c r="K25" s="54"/>
      <c r="L25" s="54"/>
      <c r="M25" s="54"/>
      <c r="N25" s="181" t="s">
        <v>116</v>
      </c>
      <c r="O25" s="181"/>
      <c r="P25" s="181"/>
      <c r="Q25" s="66">
        <f>'Leveraged DCF Analysis'!E24</f>
        <v>0.12962647548254735</v>
      </c>
    </row>
    <row r="26" spans="2:21" x14ac:dyDescent="0.25">
      <c r="B26" s="102" t="s">
        <v>40</v>
      </c>
      <c r="C26" s="111">
        <v>26</v>
      </c>
      <c r="D26" s="114">
        <v>0</v>
      </c>
      <c r="E26" s="111">
        <v>0</v>
      </c>
      <c r="F26" s="118">
        <v>0</v>
      </c>
      <c r="G26" s="35">
        <v>45</v>
      </c>
      <c r="I26" s="28"/>
      <c r="J26" s="54"/>
      <c r="K26" s="54"/>
      <c r="L26" s="54"/>
      <c r="M26" s="54"/>
      <c r="N26" s="182" t="s">
        <v>117</v>
      </c>
      <c r="O26" s="182"/>
      <c r="P26" s="182"/>
      <c r="Q26" s="87">
        <f>'Leveraged DCF Analysis'!E22</f>
        <v>13815919.56743202</v>
      </c>
    </row>
    <row r="27" spans="2:21" x14ac:dyDescent="0.25">
      <c r="B27" s="103" t="s">
        <v>5</v>
      </c>
      <c r="C27" s="112">
        <v>24.5</v>
      </c>
      <c r="D27" s="115">
        <v>0</v>
      </c>
      <c r="E27" s="112">
        <v>0</v>
      </c>
      <c r="F27" s="119">
        <v>0</v>
      </c>
      <c r="G27" s="31">
        <v>35</v>
      </c>
      <c r="I27" s="32"/>
      <c r="J27" s="33"/>
      <c r="K27" s="33"/>
      <c r="L27" s="33"/>
      <c r="M27" s="33"/>
      <c r="N27" s="166" t="s">
        <v>118</v>
      </c>
      <c r="O27" s="166"/>
      <c r="P27" s="166"/>
      <c r="Q27" s="86">
        <f>'Leveraged DCF Analysis'!E23</f>
        <v>322006.60191996582</v>
      </c>
    </row>
    <row r="28" spans="2:21" x14ac:dyDescent="0.25">
      <c r="B28" s="104" t="s">
        <v>6</v>
      </c>
      <c r="C28" s="113">
        <v>27.5</v>
      </c>
      <c r="D28" s="116">
        <v>0</v>
      </c>
      <c r="E28" s="113">
        <v>0</v>
      </c>
      <c r="F28" s="120">
        <v>0</v>
      </c>
      <c r="G28" s="36">
        <v>20</v>
      </c>
    </row>
    <row r="29" spans="2:21" x14ac:dyDescent="0.25">
      <c r="B29" s="73"/>
      <c r="C29" s="73"/>
      <c r="D29" s="73"/>
      <c r="E29" s="73"/>
      <c r="F29" s="73"/>
      <c r="G29" s="73"/>
    </row>
    <row r="30" spans="2:21" x14ac:dyDescent="0.25">
      <c r="B30" s="17" t="s">
        <v>98</v>
      </c>
      <c r="C30" s="9">
        <v>1</v>
      </c>
      <c r="D30" s="9">
        <v>2</v>
      </c>
      <c r="E30" s="9">
        <v>3</v>
      </c>
      <c r="F30" s="9">
        <v>4</v>
      </c>
      <c r="G30" s="9">
        <v>5</v>
      </c>
    </row>
    <row r="31" spans="2:21" x14ac:dyDescent="0.25">
      <c r="B31" s="8" t="s">
        <v>40</v>
      </c>
      <c r="C31" s="10">
        <f>(IF($C21=C$30,1-(($D21-1)/12)-IF($E21=C$30,(12-F21)/12,0),0))*$G21*$C26</f>
        <v>1040000</v>
      </c>
      <c r="D31" s="10">
        <f>IF(AND(C31&gt;1,$E21&gt;=D$30),(($G21*$C26)-(IF($E21=D$30,(12-$F21)/12,0)*$G21*$C26))*((1+$D26)^(D$30-$C21)),(IF($C21=D$30,1-(($D21-1)/12)-IF($E21=D$30,(12-$F21)/12,0),0))*$G21*$C26)</f>
        <v>1040000</v>
      </c>
      <c r="E31" s="10">
        <f t="shared" ref="D31:G33" si="0">IF(AND(D31&gt;1,$E21&gt;=E$30),(($G21*$C26)-(IF($E21=E$30,(12-$F21)/12,0)*$G21*$C26))*((1+$D26)^(E$30-$C21)),(IF($C21=E$30,1-(($D21-1)/12)-IF($E21=E$30,(12-$F21)/12,0),0))*$G21*$C26)</f>
        <v>1040000</v>
      </c>
      <c r="F31" s="10">
        <f t="shared" si="0"/>
        <v>1040000</v>
      </c>
      <c r="G31" s="10">
        <f t="shared" si="0"/>
        <v>1040000</v>
      </c>
      <c r="J31" s="19" t="s">
        <v>62</v>
      </c>
      <c r="L31" s="22">
        <v>1</v>
      </c>
      <c r="M31" s="22">
        <v>2</v>
      </c>
      <c r="N31" s="22">
        <v>3</v>
      </c>
      <c r="O31" s="22">
        <v>4</v>
      </c>
      <c r="P31" s="22">
        <v>5</v>
      </c>
    </row>
    <row r="32" spans="2:21" x14ac:dyDescent="0.25">
      <c r="B32" s="8" t="s">
        <v>5</v>
      </c>
      <c r="C32" s="10">
        <f>(IF($C22=C$30,1-(($D22-1)/12)-IF($E22=C$30,(12-F22)/12,0),0))*$G22*$C27</f>
        <v>857500</v>
      </c>
      <c r="D32" s="10">
        <f t="shared" si="0"/>
        <v>857500</v>
      </c>
      <c r="E32" s="10">
        <f t="shared" si="0"/>
        <v>857500</v>
      </c>
      <c r="F32" s="10">
        <f t="shared" si="0"/>
        <v>857500</v>
      </c>
      <c r="G32" s="10">
        <f t="shared" si="0"/>
        <v>857500</v>
      </c>
      <c r="J32" t="s">
        <v>120</v>
      </c>
    </row>
    <row r="33" spans="2:16" x14ac:dyDescent="0.25">
      <c r="B33" s="8" t="s">
        <v>6</v>
      </c>
      <c r="C33" s="10">
        <f>(IF($C23=C$30,1-(($D23-1)/12)-IF($E23=C$30,(12-F23)/12,0),0))*$G23*$C28</f>
        <v>687500</v>
      </c>
      <c r="D33" s="10">
        <f t="shared" si="0"/>
        <v>687500</v>
      </c>
      <c r="E33" s="10">
        <f t="shared" si="0"/>
        <v>687500</v>
      </c>
      <c r="F33" s="10">
        <f t="shared" si="0"/>
        <v>687500</v>
      </c>
      <c r="G33" s="10">
        <f t="shared" si="0"/>
        <v>687500</v>
      </c>
      <c r="J33" s="11" t="s">
        <v>61</v>
      </c>
      <c r="L33" s="20">
        <f>'Unleveraged Net Cash Flows'!D36</f>
        <v>7.9558823529411765E-2</v>
      </c>
      <c r="M33" s="20">
        <f>'Unleveraged Net Cash Flows'!E36</f>
        <v>7.9629411764705879E-2</v>
      </c>
      <c r="N33" s="20">
        <f>'Unleveraged Net Cash Flows'!F36</f>
        <v>7.9701411764705882E-2</v>
      </c>
      <c r="O33" s="20">
        <f>'Unleveraged Net Cash Flows'!G36</f>
        <v>7.9774851764705876E-2</v>
      </c>
      <c r="P33" s="20">
        <f>'Unleveraged Net Cash Flows'!H36</f>
        <v>7.9849760564705871E-2</v>
      </c>
    </row>
    <row r="34" spans="2:16" x14ac:dyDescent="0.25">
      <c r="B34" s="8"/>
      <c r="C34" s="8"/>
      <c r="D34" s="8"/>
      <c r="E34" s="8"/>
      <c r="F34" s="8"/>
      <c r="G34" s="8"/>
    </row>
    <row r="35" spans="2:16" x14ac:dyDescent="0.25">
      <c r="B35" s="17" t="s">
        <v>99</v>
      </c>
      <c r="C35" s="9">
        <v>1</v>
      </c>
      <c r="D35" s="9">
        <v>2</v>
      </c>
      <c r="E35" s="9">
        <v>3</v>
      </c>
      <c r="F35" s="9">
        <v>4</v>
      </c>
      <c r="G35" s="9">
        <v>5</v>
      </c>
      <c r="J35" t="s">
        <v>121</v>
      </c>
    </row>
    <row r="36" spans="2:16" x14ac:dyDescent="0.25">
      <c r="B36" s="8" t="s">
        <v>40</v>
      </c>
      <c r="C36" s="10">
        <f>(IF($C21=C$30,1-(($D21-1)/12)-IF($E21=C$30,(12-F21)/12,0),0))*$C$12*$G26*(1+$G$9)^(C$30-1)</f>
        <v>54000</v>
      </c>
      <c r="D36" s="10">
        <f t="shared" ref="D36:G38" si="1">IF(AND(C31&gt;1,$E21&gt;=D$30),(($C$12*$G26*((1+$G$9)^(D$35-1)))-(IF($E21=D$30,(12-$F21)/12,0)*$C$12*$G26*((1+$G$9)^(D$35-1)))),(IF($C21=D$30,1-(($D21-1)/12)-IF($E21=D$30,(12-$F21)/12,0),0))*$C$12*$G26*(1+$G$9)^(D$35-1))</f>
        <v>55080</v>
      </c>
      <c r="E36" s="10">
        <f t="shared" si="1"/>
        <v>56181.599999999999</v>
      </c>
      <c r="F36" s="10">
        <f t="shared" si="1"/>
        <v>57305.231999999996</v>
      </c>
      <c r="G36" s="10">
        <f t="shared" si="1"/>
        <v>58451.336640000001</v>
      </c>
      <c r="J36" s="11" t="s">
        <v>102</v>
      </c>
      <c r="L36" s="13">
        <f>'Leveraged Net Cash Flows'!D48</f>
        <v>1.5725601337112209</v>
      </c>
      <c r="M36" s="13">
        <f>'Leveraged Net Cash Flows'!E48</f>
        <v>1.5739553811496338</v>
      </c>
      <c r="N36" s="13">
        <f>'Leveraged Net Cash Flows'!F48</f>
        <v>1.5753785335368151</v>
      </c>
      <c r="O36" s="13">
        <f>'Leveraged Net Cash Flows'!G48</f>
        <v>1.5768301489717398</v>
      </c>
      <c r="P36" s="13">
        <f>'Leveraged Net Cash Flows'!H48</f>
        <v>1.5783107967153631</v>
      </c>
    </row>
    <row r="37" spans="2:16" x14ac:dyDescent="0.25">
      <c r="B37" s="8" t="s">
        <v>5</v>
      </c>
      <c r="C37" s="10">
        <f>(IF($C22=C$30,1-(($D22-1)/12)-IF($E22=C$30,(12-F22)/12,0),0))*$C$12*$G27*(1+$G$9)^(C$30-1)</f>
        <v>42000</v>
      </c>
      <c r="D37" s="10">
        <f t="shared" si="1"/>
        <v>42840</v>
      </c>
      <c r="E37" s="10">
        <f t="shared" si="1"/>
        <v>43696.800000000003</v>
      </c>
      <c r="F37" s="10">
        <f t="shared" si="1"/>
        <v>44570.735999999997</v>
      </c>
      <c r="G37" s="10">
        <f t="shared" si="1"/>
        <v>45462.150719999998</v>
      </c>
      <c r="J37" s="11" t="s">
        <v>61</v>
      </c>
      <c r="L37" s="7">
        <f>'Leveraged Net Cash Flows'!D49</f>
        <v>0</v>
      </c>
      <c r="M37" s="7">
        <f>'Leveraged Net Cash Flows'!E49</f>
        <v>7.6594947534000382E-2</v>
      </c>
      <c r="N37" s="7">
        <f>'Leveraged Net Cash Flows'!F49</f>
        <v>7.6788271001948863E-2</v>
      </c>
      <c r="O37" s="7">
        <f>'Leveraged Net Cash Flows'!G49</f>
        <v>7.6985460939256317E-2</v>
      </c>
      <c r="P37" s="7">
        <f>'Leveraged Net Cash Flows'!H49</f>
        <v>1.5601592139443794</v>
      </c>
    </row>
    <row r="38" spans="2:16" x14ac:dyDescent="0.25">
      <c r="B38" s="8" t="s">
        <v>6</v>
      </c>
      <c r="C38" s="10">
        <f>(IF($C23=C$30,1-(($D23-1)/12)-IF($E23=C$30,(12-F23)/12,0),0))*$C$12*$G28*(1+$G$9)^(C$30-1)</f>
        <v>24000</v>
      </c>
      <c r="D38" s="10">
        <f t="shared" si="1"/>
        <v>24480</v>
      </c>
      <c r="E38" s="10">
        <f t="shared" si="1"/>
        <v>24969.599999999999</v>
      </c>
      <c r="F38" s="10">
        <f t="shared" si="1"/>
        <v>25468.991999999998</v>
      </c>
      <c r="G38" s="10">
        <f t="shared" si="1"/>
        <v>25978.37184</v>
      </c>
    </row>
    <row r="39" spans="2:16" x14ac:dyDescent="0.25">
      <c r="B39" s="8"/>
      <c r="C39" s="8"/>
      <c r="D39" s="8"/>
      <c r="E39" s="8"/>
      <c r="F39" s="8"/>
      <c r="G39" s="8"/>
    </row>
    <row r="40" spans="2:16" x14ac:dyDescent="0.25">
      <c r="B40" s="17" t="s">
        <v>171</v>
      </c>
      <c r="C40" s="9">
        <v>1</v>
      </c>
      <c r="D40" s="9">
        <v>2</v>
      </c>
      <c r="E40" s="9">
        <v>3</v>
      </c>
      <c r="F40" s="9">
        <v>4</v>
      </c>
      <c r="G40" s="9">
        <v>5</v>
      </c>
    </row>
    <row r="41" spans="2:16" x14ac:dyDescent="0.25">
      <c r="B41" s="8" t="s">
        <v>40</v>
      </c>
      <c r="C41" s="10">
        <f>IF($C21=C$40,$E26*$G21,0)+IF($C21=C$40,$C$15*SUM($C31:$G31),0)</f>
        <v>0</v>
      </c>
      <c r="D41" s="10">
        <f t="shared" ref="D41:G41" si="2">IF($C21=D$40,$E26*$G21,0)+IF($C21=D$40,$C$15*SUM($C31:$G31),0)</f>
        <v>0</v>
      </c>
      <c r="E41" s="10">
        <f t="shared" si="2"/>
        <v>0</v>
      </c>
      <c r="F41" s="10">
        <f t="shared" si="2"/>
        <v>0</v>
      </c>
      <c r="G41" s="10">
        <f t="shared" si="2"/>
        <v>0</v>
      </c>
    </row>
    <row r="42" spans="2:16" x14ac:dyDescent="0.25">
      <c r="B42" s="8" t="s">
        <v>5</v>
      </c>
      <c r="C42" s="10">
        <f t="shared" ref="C42:G42" si="3">IF($C22=C$40,$E27*$G22,0)+IF($C22=C$40,$C$15*SUM($C32:$G32),0)</f>
        <v>0</v>
      </c>
      <c r="D42" s="10">
        <f t="shared" si="3"/>
        <v>0</v>
      </c>
      <c r="E42" s="10">
        <f t="shared" si="3"/>
        <v>0</v>
      </c>
      <c r="F42" s="10">
        <f t="shared" si="3"/>
        <v>0</v>
      </c>
      <c r="G42" s="10">
        <f t="shared" si="3"/>
        <v>0</v>
      </c>
    </row>
    <row r="43" spans="2:16" x14ac:dyDescent="0.25">
      <c r="B43" s="8" t="s">
        <v>6</v>
      </c>
      <c r="C43" s="10">
        <f t="shared" ref="C43:G43" si="4">IF($C23=C$40,$E28*$G23,0)+IF($C23=C$40,$C$15*SUM($C33:$G33),0)</f>
        <v>0</v>
      </c>
      <c r="D43" s="10">
        <f t="shared" si="4"/>
        <v>0</v>
      </c>
      <c r="E43" s="10">
        <f t="shared" si="4"/>
        <v>0</v>
      </c>
      <c r="F43" s="10">
        <f t="shared" si="4"/>
        <v>0</v>
      </c>
      <c r="G43" s="10">
        <f t="shared" si="4"/>
        <v>0</v>
      </c>
    </row>
    <row r="44" spans="2:16" x14ac:dyDescent="0.25">
      <c r="B44" s="8"/>
      <c r="C44" s="8"/>
      <c r="D44" s="8"/>
      <c r="E44" s="8"/>
      <c r="F44" s="8"/>
      <c r="G44" s="8"/>
    </row>
    <row r="45" spans="2:16" x14ac:dyDescent="0.25">
      <c r="B45" s="17" t="s">
        <v>175</v>
      </c>
      <c r="C45" s="9">
        <v>1</v>
      </c>
      <c r="D45" s="9">
        <v>2</v>
      </c>
      <c r="E45" s="9">
        <v>3</v>
      </c>
      <c r="F45" s="9">
        <v>4</v>
      </c>
      <c r="G45" s="9">
        <v>5</v>
      </c>
    </row>
    <row r="46" spans="2:16" x14ac:dyDescent="0.25">
      <c r="B46" s="8" t="s">
        <v>40</v>
      </c>
      <c r="C46" s="10">
        <f>IF(AND($C21=C$45,$F26&gt;0),(MIN($F26/12,(13-$D21)/12)*$G21*$C26),0)</f>
        <v>0</v>
      </c>
      <c r="D46" s="10">
        <f t="shared" ref="D46:G48" si="5">IF(AND($F26&gt;(13-$D21),(D$45-$C21)&lt;2,C46&gt;0),((($F26-(13-$D21))/12)*$G21*$C26),IF(AND($C21=D$45,$F26&gt;0),(MIN($F26/12,(13-$D21)/12)*$G21*$C26),0))</f>
        <v>0</v>
      </c>
      <c r="E46" s="10">
        <f t="shared" si="5"/>
        <v>0</v>
      </c>
      <c r="F46" s="10">
        <f t="shared" si="5"/>
        <v>0</v>
      </c>
      <c r="G46" s="10">
        <f t="shared" si="5"/>
        <v>0</v>
      </c>
    </row>
    <row r="47" spans="2:16" x14ac:dyDescent="0.25">
      <c r="B47" s="8" t="s">
        <v>5</v>
      </c>
      <c r="C47" s="10">
        <f>IF(AND($C22=C$45,$F27&gt;0),(MIN($F27/12,(13-$D22)/12)*$G22*$C27),0)</f>
        <v>0</v>
      </c>
      <c r="D47" s="10">
        <f t="shared" si="5"/>
        <v>0</v>
      </c>
      <c r="E47" s="10">
        <f t="shared" si="5"/>
        <v>0</v>
      </c>
      <c r="F47" s="10">
        <f t="shared" si="5"/>
        <v>0</v>
      </c>
      <c r="G47" s="10">
        <f t="shared" si="5"/>
        <v>0</v>
      </c>
    </row>
    <row r="48" spans="2:16" x14ac:dyDescent="0.25">
      <c r="B48" s="8" t="s">
        <v>6</v>
      </c>
      <c r="C48" s="10">
        <f>IF(AND($C23=C$45,$F28&gt;0),(MIN($F28/12,(13-$D23)/12)*$G23*$C28),0)</f>
        <v>0</v>
      </c>
      <c r="D48" s="10">
        <f t="shared" si="5"/>
        <v>0</v>
      </c>
      <c r="E48" s="10">
        <f t="shared" si="5"/>
        <v>0</v>
      </c>
      <c r="F48" s="10">
        <f t="shared" si="5"/>
        <v>0</v>
      </c>
      <c r="G48" s="10">
        <f t="shared" si="5"/>
        <v>0</v>
      </c>
    </row>
    <row r="50" spans="2:7" x14ac:dyDescent="0.25">
      <c r="B50" s="161" t="s">
        <v>93</v>
      </c>
      <c r="C50" s="162"/>
      <c r="D50" s="162"/>
      <c r="E50" s="162"/>
      <c r="F50" s="162"/>
      <c r="G50" s="163"/>
    </row>
    <row r="51" spans="2:7" s="44" customFormat="1" x14ac:dyDescent="0.25">
      <c r="B51" s="28"/>
      <c r="C51" s="8"/>
      <c r="D51" s="8"/>
      <c r="E51" s="8"/>
      <c r="F51" s="8"/>
      <c r="G51" s="29"/>
    </row>
    <row r="52" spans="2:7" s="44" customFormat="1" x14ac:dyDescent="0.25">
      <c r="B52" s="28"/>
      <c r="C52" s="39" t="s">
        <v>109</v>
      </c>
      <c r="D52" s="39" t="s">
        <v>48</v>
      </c>
      <c r="E52" s="39" t="s">
        <v>49</v>
      </c>
      <c r="F52" s="39" t="s">
        <v>50</v>
      </c>
      <c r="G52" s="39" t="s">
        <v>173</v>
      </c>
    </row>
    <row r="53" spans="2:7" x14ac:dyDescent="0.25">
      <c r="B53" s="41" t="s">
        <v>100</v>
      </c>
      <c r="C53" s="40">
        <v>587159</v>
      </c>
      <c r="D53" s="42" t="s">
        <v>110</v>
      </c>
      <c r="E53" s="42"/>
      <c r="F53" s="43">
        <v>1</v>
      </c>
      <c r="G53" s="42" t="s">
        <v>169</v>
      </c>
    </row>
    <row r="54" spans="2:7" x14ac:dyDescent="0.25">
      <c r="B54" s="41" t="s">
        <v>47</v>
      </c>
      <c r="C54" s="40">
        <v>0.6</v>
      </c>
      <c r="D54" s="42" t="s">
        <v>51</v>
      </c>
      <c r="E54" s="42" t="s">
        <v>52</v>
      </c>
      <c r="F54" s="43">
        <v>1</v>
      </c>
      <c r="G54" s="42" t="s">
        <v>169</v>
      </c>
    </row>
    <row r="55" spans="2:7" x14ac:dyDescent="0.25">
      <c r="B55" s="41" t="s">
        <v>63</v>
      </c>
      <c r="C55" s="40">
        <v>0.6</v>
      </c>
      <c r="D55" s="42" t="s">
        <v>51</v>
      </c>
      <c r="E55" s="42" t="s">
        <v>52</v>
      </c>
      <c r="F55" s="43">
        <v>0.15</v>
      </c>
      <c r="G55" s="42" t="s">
        <v>169</v>
      </c>
    </row>
    <row r="56" spans="2:7" s="70" customFormat="1" x14ac:dyDescent="0.25">
      <c r="B56" s="41" t="s">
        <v>1</v>
      </c>
      <c r="C56" s="40">
        <v>0.75</v>
      </c>
      <c r="D56" s="42" t="s">
        <v>51</v>
      </c>
      <c r="E56" s="42" t="s">
        <v>52</v>
      </c>
      <c r="F56" s="43">
        <v>0.6</v>
      </c>
      <c r="G56" s="42" t="s">
        <v>169</v>
      </c>
    </row>
    <row r="57" spans="2:7" x14ac:dyDescent="0.25">
      <c r="B57" s="41" t="s">
        <v>101</v>
      </c>
      <c r="C57" s="40">
        <v>30000</v>
      </c>
      <c r="D57" s="42" t="s">
        <v>110</v>
      </c>
      <c r="E57" s="42"/>
      <c r="F57" s="43">
        <v>1</v>
      </c>
      <c r="G57" s="42" t="s">
        <v>169</v>
      </c>
    </row>
    <row r="58" spans="2:7" s="44" customFormat="1" x14ac:dyDescent="0.25">
      <c r="B58" s="53"/>
      <c r="C58" s="67"/>
      <c r="D58" s="67"/>
      <c r="E58" s="67"/>
      <c r="F58" s="67"/>
      <c r="G58" s="67"/>
    </row>
    <row r="59" spans="2:7" s="44" customFormat="1" x14ac:dyDescent="0.25">
      <c r="B59" s="17" t="s">
        <v>111</v>
      </c>
      <c r="C59" s="9">
        <v>1</v>
      </c>
      <c r="D59" s="9">
        <v>2</v>
      </c>
      <c r="E59" s="9">
        <v>3</v>
      </c>
      <c r="F59" s="9">
        <v>4</v>
      </c>
      <c r="G59" s="9">
        <v>5</v>
      </c>
    </row>
    <row r="60" spans="2:7" x14ac:dyDescent="0.25">
      <c r="B60" s="121" t="s">
        <v>100</v>
      </c>
      <c r="C60" s="10">
        <f>$C$53*(1+$C$9)^(C59-1)</f>
        <v>587159</v>
      </c>
      <c r="D60" s="10">
        <f>$C$53*(1+$C$9)^(D59-1)</f>
        <v>598902.18000000005</v>
      </c>
      <c r="E60" s="10">
        <f>$C$53*(1+$C$9)^(E59-1)</f>
        <v>610880.22360000003</v>
      </c>
      <c r="F60" s="10">
        <f>$C$53*(1+$C$9)^(F59-1)</f>
        <v>623097.82807199995</v>
      </c>
      <c r="G60" s="10">
        <f>$C$53*(1+$C$9)^(G59-1)</f>
        <v>635559.78463343997</v>
      </c>
    </row>
    <row r="61" spans="2:7" x14ac:dyDescent="0.25">
      <c r="B61" s="121" t="s">
        <v>47</v>
      </c>
      <c r="C61" s="10">
        <f>(($C54*$Q$12)*$F54)+((((IF($C$21=$C$59,1-(($D$21-1)/12)-IF($E$21=$C$59,(12-$F$21)/12,0),0))*$G$21)+((IF($C$22=$C$59,1-(($D$22-1)/12)-IF($E$22=$C$59,(12-$F$22)/12,0),0))*$G$22)+((IF($C$23=$C$59,1-(($D$23-1)/12)-IF($E$23=$C$59,(12-$F$23)/12,0),0))*$G$23))*$C54*(1-$F54))</f>
        <v>60000</v>
      </c>
      <c r="D61" s="10">
        <f t="shared" ref="D61:G63" si="6">(($C54*$Q$12)*$F54*((1+$C$9)^(D$59-1)))+((IF(AND(C$59&gt;=$C$21,$E$21&gt;=D$59),(1-IF($E$21=D$59,(12-$F$21)/12,0)),(IF($C$21=D$59,1-(($D$21-1)/12)-IF($E$21=D$59,(12-$F$21)/12,0),0)))*$G$21)+(IF(AND(C$59&gt;=$C$22,$E$22&gt;=D$59),(1-IF($E$22=D$59,(12-$F$22)/12,0)),(IF($C$22=D$59,1-(($D$22-1)/12)-IF($E$22=D$59,(12-$F$22)/12,0),0)))*$G$22)+(IF(AND(C$59&gt;=$C$23,$E$23&gt;=D$59),(1-IF($E$23=D$59,(12-$F$23)/12,0)),(IF($C$23=D$59,1-(($D$23-1)/12)-IF($E$23=D$59,(12-$F$23)/12,0),0)))*$G$23))*($C54*(1-$F54)*((1+$C$9)^(D$59-1)))</f>
        <v>61200</v>
      </c>
      <c r="E61" s="10">
        <f t="shared" si="6"/>
        <v>62424</v>
      </c>
      <c r="F61" s="10">
        <f t="shared" si="6"/>
        <v>63672.479999999996</v>
      </c>
      <c r="G61" s="10">
        <f t="shared" si="6"/>
        <v>64945.929599999996</v>
      </c>
    </row>
    <row r="62" spans="2:7" x14ac:dyDescent="0.25">
      <c r="B62" s="121" t="s">
        <v>63</v>
      </c>
      <c r="C62" s="10">
        <f>(($C55*$Q$12)*$F55)+((((IF($C$21=$C$59,1-(($D$21-1)/12)-IF($E$21=$C$59,(12-$F$21)/12,0),0))*$G$21)+((IF($C$22=$C$59,1-(($D$22-1)/12)-IF($E$22=$C$59,(12-$F$22)/12,0),0))*$G$22)+((IF($C$23=$C$59,1-(($D$23-1)/12)-IF($E$23=$C$59,(12-$F$23)/12,0),0))*$G$23))*$C55*(1-$F55))</f>
        <v>60000</v>
      </c>
      <c r="D62" s="10">
        <f t="shared" si="6"/>
        <v>61200</v>
      </c>
      <c r="E62" s="10">
        <f t="shared" si="6"/>
        <v>62423.999999999993</v>
      </c>
      <c r="F62" s="10">
        <f t="shared" si="6"/>
        <v>63672.479999999996</v>
      </c>
      <c r="G62" s="10">
        <f t="shared" si="6"/>
        <v>64945.929600000003</v>
      </c>
    </row>
    <row r="63" spans="2:7" x14ac:dyDescent="0.25">
      <c r="B63" s="121" t="s">
        <v>1</v>
      </c>
      <c r="C63" s="10">
        <f>(($C56*$Q$12)*$F56)+((((IF($C$21=$C$59,1-(($D$21-1)/12)-IF($E$21=$C$59,(12-$F$21)/12,0),0))*$G$21)+((IF($C$22=$C$59,1-(($D$22-1)/12)-IF($E$22=$C$59,(12-$F$22)/12,0),0))*$G$22)+((IF($C$23=$C$59,1-(($D$23-1)/12)-IF($E$23=$C$59,(12-$F$23)/12,0),0))*$G$23))*$C56*(1-$F56))</f>
        <v>75000</v>
      </c>
      <c r="D63" s="10">
        <f t="shared" si="6"/>
        <v>76500</v>
      </c>
      <c r="E63" s="10">
        <f t="shared" si="6"/>
        <v>78030</v>
      </c>
      <c r="F63" s="10">
        <f t="shared" si="6"/>
        <v>79590.600000000006</v>
      </c>
      <c r="G63" s="10">
        <f t="shared" si="6"/>
        <v>81182.412000000011</v>
      </c>
    </row>
    <row r="64" spans="2:7" x14ac:dyDescent="0.25">
      <c r="B64" s="121" t="s">
        <v>101</v>
      </c>
      <c r="C64" s="10">
        <f>$C$57*(1+$C$9)^(C59-1)</f>
        <v>30000</v>
      </c>
      <c r="D64" s="10">
        <f>$C$57*(1+$C$9)^(D59-1)</f>
        <v>30600</v>
      </c>
      <c r="E64" s="10">
        <f>$C$57*(1+$C$9)^(E59-1)</f>
        <v>31212</v>
      </c>
      <c r="F64" s="10">
        <f>$C$57*(1+$C$9)^(F59-1)</f>
        <v>31836.239999999998</v>
      </c>
      <c r="G64" s="10">
        <f>$C$57*(1+$C$9)^(G59-1)</f>
        <v>32472.964799999998</v>
      </c>
    </row>
    <row r="66" spans="2:7" x14ac:dyDescent="0.25">
      <c r="B66" s="180" t="s">
        <v>53</v>
      </c>
      <c r="C66" s="180"/>
      <c r="D66" s="25"/>
      <c r="E66" s="161" t="s">
        <v>104</v>
      </c>
      <c r="F66" s="162"/>
      <c r="G66" s="163"/>
    </row>
    <row r="67" spans="2:7" x14ac:dyDescent="0.25">
      <c r="B67" s="32"/>
      <c r="C67" s="34"/>
      <c r="E67" s="32"/>
      <c r="F67" s="68"/>
      <c r="G67" s="34"/>
    </row>
    <row r="68" spans="2:7" x14ac:dyDescent="0.25">
      <c r="B68" s="41" t="s">
        <v>16</v>
      </c>
      <c r="C68" s="75">
        <v>0.7</v>
      </c>
      <c r="E68" s="160" t="s">
        <v>86</v>
      </c>
      <c r="F68" s="160"/>
      <c r="G68" s="85">
        <v>34000000</v>
      </c>
    </row>
    <row r="69" spans="2:7" x14ac:dyDescent="0.25">
      <c r="B69" s="41" t="s">
        <v>102</v>
      </c>
      <c r="C69" s="76">
        <v>1.4</v>
      </c>
      <c r="E69" s="160" t="s">
        <v>87</v>
      </c>
      <c r="F69" s="160"/>
      <c r="G69" s="79"/>
    </row>
    <row r="70" spans="2:7" x14ac:dyDescent="0.25">
      <c r="B70" s="41" t="s">
        <v>33</v>
      </c>
      <c r="C70" s="76">
        <v>25</v>
      </c>
      <c r="E70" s="164"/>
      <c r="F70" s="164"/>
    </row>
    <row r="71" spans="2:7" x14ac:dyDescent="0.25">
      <c r="B71" s="41" t="s">
        <v>19</v>
      </c>
      <c r="C71" s="77">
        <v>12</v>
      </c>
      <c r="E71" s="161" t="s">
        <v>112</v>
      </c>
      <c r="F71" s="167"/>
      <c r="G71" s="168"/>
    </row>
    <row r="72" spans="2:7" x14ac:dyDescent="0.25">
      <c r="B72" s="41" t="s">
        <v>103</v>
      </c>
      <c r="C72" s="38">
        <v>6.7500000000000004E-2</v>
      </c>
      <c r="E72" s="165"/>
      <c r="F72" s="166"/>
      <c r="G72" s="34"/>
    </row>
    <row r="73" spans="2:7" x14ac:dyDescent="0.25">
      <c r="B73" s="78" t="s">
        <v>66</v>
      </c>
      <c r="C73" s="76">
        <v>1</v>
      </c>
      <c r="E73" s="160" t="s">
        <v>84</v>
      </c>
      <c r="F73" s="160"/>
      <c r="G73" s="75"/>
    </row>
    <row r="74" spans="2:7" x14ac:dyDescent="0.25">
      <c r="B74" s="41" t="s">
        <v>168</v>
      </c>
      <c r="C74" s="75">
        <v>0.01</v>
      </c>
      <c r="E74" s="41" t="s">
        <v>85</v>
      </c>
      <c r="F74" s="74"/>
      <c r="G74" s="75"/>
    </row>
  </sheetData>
  <mergeCells count="21">
    <mergeCell ref="B66:C66"/>
    <mergeCell ref="C19:D19"/>
    <mergeCell ref="E19:F19"/>
    <mergeCell ref="B50:G50"/>
    <mergeCell ref="N25:P25"/>
    <mergeCell ref="N27:P27"/>
    <mergeCell ref="N26:P26"/>
    <mergeCell ref="N6:Q7"/>
    <mergeCell ref="N9:Q9"/>
    <mergeCell ref="N16:Q16"/>
    <mergeCell ref="B3:G4"/>
    <mergeCell ref="B17:G17"/>
    <mergeCell ref="I3:Q4"/>
    <mergeCell ref="B6:G6"/>
    <mergeCell ref="E73:F73"/>
    <mergeCell ref="E66:G66"/>
    <mergeCell ref="E68:F68"/>
    <mergeCell ref="E69:F69"/>
    <mergeCell ref="E70:F70"/>
    <mergeCell ref="E72:F72"/>
    <mergeCell ref="E71:G71"/>
  </mergeCells>
  <dataValidations xWindow="365" yWindow="803" count="13">
    <dataValidation allowBlank="1" showInputMessage="1" showErrorMessage="1" prompt="Enter Amount per square foot" sqref="E26:E28"/>
    <dataValidation allowBlank="1" showInputMessage="1" showErrorMessage="1" prompt="Enter rent escalation per year" sqref="D26:D28"/>
    <dataValidation type="whole" allowBlank="1" showInputMessage="1" showErrorMessage="1" error="Month is out of range" prompt="Please select the expiration month." sqref="F22:F23">
      <formula1>IF(E22=C22,D22,1)</formula1>
      <formula2>12</formula2>
    </dataValidation>
    <dataValidation type="whole" allowBlank="1" showInputMessage="1" showErrorMessage="1" error="Please enter only rent abatement between lease term or less than 12 months." prompt="Please enter term of rent abatment in months (between 1-12)" sqref="F26:F28">
      <formula1>0</formula1>
      <formula2>IF($E21&gt;$C21,MIN((($E21-$C21+1)*12)-($D21-1)-(12-$F21),12),($F21-$D21+1))</formula2>
    </dataValidation>
    <dataValidation type="whole" allowBlank="1" showInputMessage="1" showErrorMessage="1" error="Please choose between year 1-6" prompt="Please input commencement year (if before year 1, use year 1)_x000a_" sqref="C21:C23">
      <formula1>1</formula1>
      <formula2>5</formula2>
    </dataValidation>
    <dataValidation type="whole" allowBlank="1" showInputMessage="1" showErrorMessage="1" error="Month is out of range" prompt="Please input commencement month (assuming day 1 start)_x000a_" sqref="D21:D23">
      <formula1>1</formula1>
      <formula2>12</formula2>
    </dataValidation>
    <dataValidation type="whole" allowBlank="1" showInputMessage="1" showErrorMessage="1" error="Year chosen is out of range " prompt="Please input expiration year (if after year 5, use year 5)" sqref="E21:E23">
      <formula1>C21</formula1>
      <formula2>5</formula2>
    </dataValidation>
    <dataValidation type="whole" allowBlank="1" showInputMessage="1" showErrorMessage="1" error="Month is out of range" prompt="Please input expiration month (assume ending last day of the month)" sqref="F21">
      <formula1>IF(E21=C21,D21,1)</formula1>
      <formula2>12</formula2>
    </dataValidation>
    <dataValidation allowBlank="1" showInputMessage="1" showErrorMessage="1" prompt="If blank, purchase price will be capitalized from &quot;Stabilized NOI (YR 0)" sqref="G68"/>
    <dataValidation allowBlank="1" showInputMessage="1" showErrorMessage="1" prompt="If blank, sales price will be capitalized from &quot;Stabilized NOI (YR 6)&quot;" sqref="G69"/>
    <dataValidation type="whole" showInputMessage="1" showErrorMessage="1" error="Please enter either 0 for International Rate or 1 for Canadian Rate_x000a_" promptTitle="Type of Rate" prompt="0 = International_x000a_1= Canadian" sqref="C73">
      <formula1>0</formula1>
      <formula2>1</formula2>
    </dataValidation>
    <dataValidation allowBlank="1" showInputMessage="1" showErrorMessage="1" prompt="If blank, discount rate will be calculated via &quot;r+g&quot;" sqref="G73"/>
    <dataValidation allowBlank="1" showInputMessage="1" showErrorMessage="1" prompt="If blank, discount rate will be calculated using weighted average cost of capital_x000d_" sqref="G74"/>
  </dataValidations>
  <pageMargins left="0.74803149606299213" right="0.74803149606299213" top="0.98425196850393704" bottom="0.98425196850393704" header="0.51181102362204722" footer="0.51181102362204722"/>
  <pageSetup paperSize="9" scale="60" fitToWidth="0" fitToHeight="0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topLeftCell="B1" zoomScale="80" zoomScaleNormal="80" zoomScalePageLayoutView="80" workbookViewId="0">
      <selection activeCell="D22" sqref="D22"/>
    </sheetView>
  </sheetViews>
  <sheetFormatPr defaultColWidth="8.875" defaultRowHeight="15.75" x14ac:dyDescent="0.25"/>
  <cols>
    <col min="1" max="1" width="8.875" style="70"/>
    <col min="2" max="2" width="30.125" bestFit="1" customWidth="1"/>
    <col min="3" max="7" width="10.625" customWidth="1"/>
    <col min="8" max="8" width="13.625" bestFit="1" customWidth="1"/>
    <col min="9" max="9" width="13" bestFit="1" customWidth="1"/>
    <col min="10" max="10" width="11.25" customWidth="1"/>
    <col min="11" max="11" width="17.5" bestFit="1" customWidth="1"/>
    <col min="12" max="12" width="14.5" bestFit="1" customWidth="1"/>
    <col min="13" max="13" width="15.75" style="50" bestFit="1" customWidth="1"/>
    <col min="14" max="14" width="19.75" style="50" customWidth="1"/>
    <col min="15" max="15" width="11.25" bestFit="1" customWidth="1"/>
    <col min="16" max="16" width="15" customWidth="1"/>
    <col min="17" max="17" width="13" bestFit="1" customWidth="1"/>
    <col min="18" max="18" width="17.75" bestFit="1" customWidth="1"/>
  </cols>
  <sheetData>
    <row r="1" spans="1:18" s="70" customFormat="1" x14ac:dyDescent="0.25"/>
    <row r="2" spans="1:18" s="50" customFormat="1" x14ac:dyDescent="0.25">
      <c r="A2" s="70"/>
      <c r="B2" s="183" t="s">
        <v>89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</row>
    <row r="3" spans="1:18" s="70" customFormat="1" x14ac:dyDescent="0.25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</row>
    <row r="4" spans="1:18" s="96" customFormat="1" x14ac:dyDescent="0.25">
      <c r="B4" s="90" t="s">
        <v>76</v>
      </c>
      <c r="C4" s="161" t="s">
        <v>42</v>
      </c>
      <c r="D4" s="163"/>
      <c r="E4" s="161" t="s">
        <v>43</v>
      </c>
      <c r="F4" s="163"/>
      <c r="G4" s="161" t="s">
        <v>74</v>
      </c>
      <c r="H4" s="162"/>
      <c r="I4" s="162"/>
      <c r="J4" s="162"/>
      <c r="K4" s="163"/>
      <c r="L4" s="161" t="s">
        <v>75</v>
      </c>
      <c r="M4" s="162"/>
      <c r="N4" s="163"/>
      <c r="O4" s="161" t="s">
        <v>72</v>
      </c>
      <c r="P4" s="168"/>
      <c r="Q4" s="91" t="s">
        <v>77</v>
      </c>
      <c r="R4" s="94"/>
    </row>
    <row r="5" spans="1:18" s="96" customFormat="1" x14ac:dyDescent="0.25">
      <c r="B5" s="142"/>
      <c r="C5" s="142" t="s">
        <v>44</v>
      </c>
      <c r="D5" s="143" t="s">
        <v>45</v>
      </c>
      <c r="E5" s="142" t="s">
        <v>44</v>
      </c>
      <c r="F5" s="143" t="s">
        <v>45</v>
      </c>
      <c r="G5" s="142" t="s">
        <v>41</v>
      </c>
      <c r="H5" s="142" t="s">
        <v>105</v>
      </c>
      <c r="I5" s="142" t="s">
        <v>106</v>
      </c>
      <c r="J5" s="142" t="s">
        <v>131</v>
      </c>
      <c r="K5" s="143" t="s">
        <v>108</v>
      </c>
      <c r="L5" s="142" t="s">
        <v>46</v>
      </c>
      <c r="M5" s="142" t="s">
        <v>132</v>
      </c>
      <c r="N5" s="143" t="s">
        <v>133</v>
      </c>
      <c r="O5" s="142" t="s">
        <v>72</v>
      </c>
      <c r="P5" s="143" t="s">
        <v>90</v>
      </c>
      <c r="Q5" s="142" t="s">
        <v>81</v>
      </c>
      <c r="R5" s="143" t="s">
        <v>130</v>
      </c>
    </row>
    <row r="6" spans="1:18" x14ac:dyDescent="0.25">
      <c r="B6" s="128" t="str">
        <f>'Model Assumptions'!B21</f>
        <v>Quantum Energy Solutions (Suite 1)</v>
      </c>
      <c r="C6" s="132">
        <f>'Model Assumptions'!C21</f>
        <v>1</v>
      </c>
      <c r="D6" s="29">
        <f>'Model Assumptions'!D21</f>
        <v>1</v>
      </c>
      <c r="E6" s="132">
        <f>'Model Assumptions'!E21</f>
        <v>5</v>
      </c>
      <c r="F6" s="29">
        <f>'Model Assumptions'!F21</f>
        <v>12</v>
      </c>
      <c r="G6" s="134">
        <f>'Model Assumptions'!G21</f>
        <v>40000</v>
      </c>
      <c r="H6" s="136">
        <f>'Model Assumptions'!C26</f>
        <v>26</v>
      </c>
      <c r="I6" s="138">
        <f>'Model Assumptions'!D26</f>
        <v>0</v>
      </c>
      <c r="J6" s="140">
        <f>'Model Assumptions'!E26</f>
        <v>0</v>
      </c>
      <c r="K6" s="130">
        <f>'Model Assumptions'!F26</f>
        <v>0</v>
      </c>
      <c r="L6" s="132">
        <f>'Model Assumptions'!G26</f>
        <v>45</v>
      </c>
      <c r="M6" s="132">
        <f>'Model Assumptions'!$C$12/12</f>
        <v>100</v>
      </c>
      <c r="N6" s="29" t="s">
        <v>83</v>
      </c>
      <c r="O6" s="132" t="s">
        <v>73</v>
      </c>
      <c r="P6" s="29" t="s">
        <v>169</v>
      </c>
      <c r="Q6" s="132" t="s">
        <v>78</v>
      </c>
      <c r="R6" s="29" t="s">
        <v>82</v>
      </c>
    </row>
    <row r="7" spans="1:18" x14ac:dyDescent="0.25">
      <c r="B7" s="128" t="str">
        <f>'Model Assumptions'!B22</f>
        <v>Office Tenant 2 (Suite 2)</v>
      </c>
      <c r="C7" s="132">
        <f>'Model Assumptions'!C22</f>
        <v>1</v>
      </c>
      <c r="D7" s="29">
        <f>'Model Assumptions'!D22</f>
        <v>1</v>
      </c>
      <c r="E7" s="132">
        <f>'Model Assumptions'!E22</f>
        <v>5</v>
      </c>
      <c r="F7" s="29">
        <f>'Model Assumptions'!F22</f>
        <v>12</v>
      </c>
      <c r="G7" s="134">
        <f>'Model Assumptions'!G22</f>
        <v>35000</v>
      </c>
      <c r="H7" s="136">
        <f>'Model Assumptions'!C27</f>
        <v>24.5</v>
      </c>
      <c r="I7" s="138">
        <f>'Model Assumptions'!D27</f>
        <v>0</v>
      </c>
      <c r="J7" s="140">
        <f>'Model Assumptions'!E27</f>
        <v>0</v>
      </c>
      <c r="K7" s="130">
        <f>'Model Assumptions'!F27</f>
        <v>0</v>
      </c>
      <c r="L7" s="132">
        <f>'Model Assumptions'!G27</f>
        <v>35</v>
      </c>
      <c r="M7" s="132">
        <f>'Model Assumptions'!$C$12/12</f>
        <v>100</v>
      </c>
      <c r="N7" s="29" t="s">
        <v>83</v>
      </c>
      <c r="O7" s="132" t="s">
        <v>73</v>
      </c>
      <c r="P7" s="29" t="s">
        <v>169</v>
      </c>
      <c r="Q7" s="132" t="s">
        <v>79</v>
      </c>
      <c r="R7" s="29" t="s">
        <v>80</v>
      </c>
    </row>
    <row r="8" spans="1:18" x14ac:dyDescent="0.25">
      <c r="B8" s="129" t="str">
        <f>'Model Assumptions'!B23</f>
        <v xml:space="preserve"> </v>
      </c>
      <c r="C8" s="133">
        <f>'Model Assumptions'!C23</f>
        <v>1</v>
      </c>
      <c r="D8" s="34">
        <f>'Model Assumptions'!D23</f>
        <v>1</v>
      </c>
      <c r="E8" s="133">
        <f>'Model Assumptions'!E23</f>
        <v>5</v>
      </c>
      <c r="F8" s="34">
        <f>'Model Assumptions'!F23</f>
        <v>12</v>
      </c>
      <c r="G8" s="135">
        <f>'Model Assumptions'!G23</f>
        <v>25000</v>
      </c>
      <c r="H8" s="137">
        <f>'Model Assumptions'!C28</f>
        <v>27.5</v>
      </c>
      <c r="I8" s="139">
        <f>'Model Assumptions'!D28</f>
        <v>0</v>
      </c>
      <c r="J8" s="141">
        <f>'Model Assumptions'!E28</f>
        <v>0</v>
      </c>
      <c r="K8" s="131">
        <f>'Model Assumptions'!F28</f>
        <v>0</v>
      </c>
      <c r="L8" s="133">
        <f>'Model Assumptions'!G28</f>
        <v>20</v>
      </c>
      <c r="M8" s="133">
        <f>'Model Assumptions'!$C$12/12</f>
        <v>100</v>
      </c>
      <c r="N8" s="34" t="s">
        <v>83</v>
      </c>
      <c r="O8" s="133" t="s">
        <v>73</v>
      </c>
      <c r="P8" s="34" t="s">
        <v>169</v>
      </c>
      <c r="Q8" s="133" t="s">
        <v>79</v>
      </c>
      <c r="R8" s="34" t="s">
        <v>80</v>
      </c>
    </row>
  </sheetData>
  <mergeCells count="6">
    <mergeCell ref="E4:F4"/>
    <mergeCell ref="L4:N4"/>
    <mergeCell ref="O4:P4"/>
    <mergeCell ref="B2:R3"/>
    <mergeCell ref="G4:K4"/>
    <mergeCell ref="C4:D4"/>
  </mergeCells>
  <pageMargins left="0.7" right="0.7" top="0.75" bottom="0.75" header="0.3" footer="0.3"/>
  <pageSetup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showGridLines="0" zoomScale="80" zoomScaleNormal="80" zoomScalePageLayoutView="80" workbookViewId="0">
      <selection activeCell="B20" sqref="B20"/>
    </sheetView>
  </sheetViews>
  <sheetFormatPr defaultColWidth="8.875" defaultRowHeight="15.75" x14ac:dyDescent="0.25"/>
  <cols>
    <col min="2" max="2" width="53.125" bestFit="1" customWidth="1"/>
    <col min="3" max="3" width="13.75" bestFit="1" customWidth="1"/>
    <col min="4" max="4" width="43.125" bestFit="1" customWidth="1"/>
    <col min="5" max="5" width="10.875" bestFit="1" customWidth="1"/>
    <col min="7" max="7" width="40.875" bestFit="1" customWidth="1"/>
    <col min="8" max="8" width="10.125" bestFit="1" customWidth="1"/>
  </cols>
  <sheetData>
    <row r="1" spans="2:5" x14ac:dyDescent="0.25">
      <c r="B1" s="54"/>
      <c r="C1" s="54"/>
      <c r="D1" s="26"/>
      <c r="E1" s="26"/>
    </row>
    <row r="2" spans="2:5" x14ac:dyDescent="0.25">
      <c r="B2" s="184" t="s">
        <v>167</v>
      </c>
      <c r="C2" s="184"/>
    </row>
    <row r="3" spans="2:5" x14ac:dyDescent="0.25">
      <c r="B3" s="184"/>
      <c r="C3" s="184"/>
    </row>
    <row r="4" spans="2:5" x14ac:dyDescent="0.25">
      <c r="B4" s="53" t="s">
        <v>127</v>
      </c>
      <c r="C4" s="54"/>
    </row>
    <row r="5" spans="2:5" x14ac:dyDescent="0.25">
      <c r="B5" s="57" t="s">
        <v>125</v>
      </c>
      <c r="C5" s="122">
        <f>'Model Assumptions'!Q12*'Model Assumptions'!D9</f>
        <v>2500000</v>
      </c>
    </row>
    <row r="6" spans="2:5" s="70" customFormat="1" x14ac:dyDescent="0.25">
      <c r="B6" s="57" t="s">
        <v>122</v>
      </c>
      <c r="C6" s="123">
        <f>'Model Assumptions'!C53+('Model Assumptions'!C56*'Model Assumptions'!Q12)+('Model Assumptions'!C55*'Model Assumptions'!Q12)+'Model Assumptions'!C57+('Model Assumptions'!C54*'Model Assumptions'!Q12)</f>
        <v>812159</v>
      </c>
    </row>
    <row r="7" spans="2:5" x14ac:dyDescent="0.25">
      <c r="B7" s="57" t="s">
        <v>0</v>
      </c>
      <c r="C7" s="122"/>
    </row>
    <row r="8" spans="2:5" s="70" customFormat="1" x14ac:dyDescent="0.25">
      <c r="B8" s="58" t="s">
        <v>123</v>
      </c>
      <c r="C8" s="122">
        <f>'Model Assumptions'!Q14*'Model Assumptions'!C12</f>
        <v>120000</v>
      </c>
    </row>
    <row r="9" spans="2:5" x14ac:dyDescent="0.25">
      <c r="B9" s="69" t="s">
        <v>124</v>
      </c>
      <c r="C9" s="125">
        <f>SUM(C5:C8)</f>
        <v>3432159</v>
      </c>
    </row>
    <row r="10" spans="2:5" x14ac:dyDescent="0.25">
      <c r="B10" s="57" t="s">
        <v>126</v>
      </c>
      <c r="C10" s="122">
        <f>'Model Assumptions'!E9*'Stabilized Proforma NOI (YR 1)'!C5</f>
        <v>187500</v>
      </c>
    </row>
    <row r="11" spans="2:5" x14ac:dyDescent="0.25">
      <c r="B11" s="51" t="s">
        <v>2</v>
      </c>
      <c r="C11" s="126">
        <f>C9-C10</f>
        <v>3244659</v>
      </c>
    </row>
    <row r="12" spans="2:5" x14ac:dyDescent="0.25">
      <c r="B12" s="59" t="s">
        <v>128</v>
      </c>
      <c r="C12" s="122"/>
    </row>
    <row r="13" spans="2:5" x14ac:dyDescent="0.25">
      <c r="B13" s="58" t="s">
        <v>100</v>
      </c>
      <c r="C13" s="122">
        <f>'Model Assumptions'!C53</f>
        <v>587159</v>
      </c>
    </row>
    <row r="14" spans="2:5" x14ac:dyDescent="0.25">
      <c r="B14" s="58" t="s">
        <v>47</v>
      </c>
      <c r="C14" s="122">
        <f>'Model Assumptions'!C54*'Model Assumptions'!Q12</f>
        <v>60000</v>
      </c>
    </row>
    <row r="15" spans="2:5" x14ac:dyDescent="0.25">
      <c r="B15" s="58" t="s">
        <v>63</v>
      </c>
      <c r="C15" s="122">
        <f>'Model Assumptions'!C55*'Model Assumptions'!Q12</f>
        <v>60000</v>
      </c>
    </row>
    <row r="16" spans="2:5" s="44" customFormat="1" x14ac:dyDescent="0.25">
      <c r="B16" s="58" t="s">
        <v>1</v>
      </c>
      <c r="C16" s="122">
        <f>'Model Assumptions'!C56*'Model Assumptions'!Q12</f>
        <v>75000</v>
      </c>
    </row>
    <row r="17" spans="2:3" x14ac:dyDescent="0.25">
      <c r="B17" s="58" t="s">
        <v>101</v>
      </c>
      <c r="C17" s="122">
        <f>'Model Assumptions'!C57</f>
        <v>30000</v>
      </c>
    </row>
    <row r="18" spans="2:3" x14ac:dyDescent="0.25">
      <c r="B18" s="59" t="s">
        <v>34</v>
      </c>
      <c r="C18" s="124">
        <f>SUM(C13:C17)</f>
        <v>812159</v>
      </c>
    </row>
    <row r="19" spans="2:3" x14ac:dyDescent="0.25">
      <c r="B19" s="60" t="s">
        <v>3</v>
      </c>
      <c r="C19" s="126">
        <f>C11-C18</f>
        <v>2432500</v>
      </c>
    </row>
    <row r="20" spans="2:3" x14ac:dyDescent="0.25">
      <c r="B20" s="57" t="s">
        <v>172</v>
      </c>
      <c r="C20" s="124">
        <f>'Model Assumptions'!F9*'Model Assumptions'!Q12/5+'Model Assumptions'!C15*'Model Assumptions'!D9*'Model Assumptions'!Q12</f>
        <v>0</v>
      </c>
    </row>
    <row r="21" spans="2:3" x14ac:dyDescent="0.25">
      <c r="B21" s="57" t="s">
        <v>129</v>
      </c>
      <c r="C21" s="122">
        <f>C19*'Model Assumptions'!G12</f>
        <v>24325</v>
      </c>
    </row>
    <row r="22" spans="2:3" ht="16.5" thickBot="1" x14ac:dyDescent="0.3">
      <c r="B22" s="60" t="s">
        <v>134</v>
      </c>
      <c r="C22" s="127">
        <f>C19-C20-C21</f>
        <v>2408175</v>
      </c>
    </row>
    <row r="23" spans="2:3" ht="16.5" thickTop="1" x14ac:dyDescent="0.25"/>
  </sheetData>
  <mergeCells count="1">
    <mergeCell ref="B2:C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showGridLines="0" zoomScale="80" zoomScaleNormal="80" zoomScalePageLayoutView="80" workbookViewId="0">
      <selection activeCell="B20" sqref="B20"/>
    </sheetView>
  </sheetViews>
  <sheetFormatPr defaultColWidth="8.875" defaultRowHeight="15.75" x14ac:dyDescent="0.25"/>
  <cols>
    <col min="1" max="1" width="8.875" style="15"/>
    <col min="2" max="2" width="53.125" style="15" bestFit="1" customWidth="1"/>
    <col min="3" max="3" width="11.125" style="15" bestFit="1" customWidth="1"/>
    <col min="4" max="6" width="8.875" style="15"/>
    <col min="7" max="7" width="40.875" style="15" bestFit="1" customWidth="1"/>
    <col min="8" max="8" width="10.875" style="15" bestFit="1" customWidth="1"/>
    <col min="9" max="16384" width="8.875" style="15"/>
  </cols>
  <sheetData>
    <row r="2" spans="2:3" ht="15.75" customHeight="1" x14ac:dyDescent="0.25">
      <c r="B2" s="184" t="s">
        <v>166</v>
      </c>
      <c r="C2" s="184"/>
    </row>
    <row r="3" spans="2:3" ht="15.75" customHeight="1" x14ac:dyDescent="0.25">
      <c r="B3" s="184"/>
      <c r="C3" s="184"/>
    </row>
    <row r="4" spans="2:3" x14ac:dyDescent="0.25">
      <c r="B4" s="53" t="s">
        <v>127</v>
      </c>
      <c r="C4" s="157"/>
    </row>
    <row r="5" spans="2:3" x14ac:dyDescent="0.25">
      <c r="B5" s="57" t="s">
        <v>125</v>
      </c>
      <c r="C5" s="122">
        <f>('Model Assumptions'!Q12*'Model Assumptions'!D9)*(1+'Model Assumptions'!G9)^6</f>
        <v>2815406.0481600002</v>
      </c>
    </row>
    <row r="6" spans="2:3" s="70" customFormat="1" x14ac:dyDescent="0.25">
      <c r="B6" s="57" t="s">
        <v>122</v>
      </c>
      <c r="C6" s="123">
        <f>('Model Assumptions'!C53+('Model Assumptions'!C56*'Model Assumptions'!Q12)+('Model Assumptions'!C55*'Model Assumptions'!Q12)+'Model Assumptions'!C57+('Model Assumptions'!C54*'Model Assumptions'!Q12))*(1+'Model Assumptions'!C9)^6</f>
        <v>914622.94426703104</v>
      </c>
    </row>
    <row r="7" spans="2:3" s="70" customFormat="1" x14ac:dyDescent="0.25">
      <c r="B7" s="57" t="s">
        <v>0</v>
      </c>
      <c r="C7" s="122"/>
    </row>
    <row r="8" spans="2:3" x14ac:dyDescent="0.25">
      <c r="B8" s="58" t="s">
        <v>123</v>
      </c>
      <c r="C8" s="122">
        <f>('Model Assumptions'!Q14*'Model Assumptions'!C12)*(1+'Model Assumptions'!G9)^6</f>
        <v>135139.49031168001</v>
      </c>
    </row>
    <row r="9" spans="2:3" x14ac:dyDescent="0.25">
      <c r="B9" s="95" t="s">
        <v>124</v>
      </c>
      <c r="C9" s="125">
        <f>SUM(C5:C8)</f>
        <v>3865168.4827387114</v>
      </c>
    </row>
    <row r="10" spans="2:3" x14ac:dyDescent="0.25">
      <c r="B10" s="57" t="s">
        <v>126</v>
      </c>
      <c r="C10" s="122">
        <f>'Model Assumptions'!E9*'Stabilized Proforma NOI (YR 6)'!C5</f>
        <v>211155.45361200001</v>
      </c>
    </row>
    <row r="11" spans="2:3" x14ac:dyDescent="0.25">
      <c r="B11" s="51" t="s">
        <v>2</v>
      </c>
      <c r="C11" s="126">
        <f>C9-C10</f>
        <v>3654013.0291267112</v>
      </c>
    </row>
    <row r="12" spans="2:3" x14ac:dyDescent="0.25">
      <c r="B12" s="59" t="s">
        <v>128</v>
      </c>
      <c r="C12" s="122"/>
    </row>
    <row r="13" spans="2:3" x14ac:dyDescent="0.25">
      <c r="B13" s="58" t="s">
        <v>100</v>
      </c>
      <c r="C13" s="122">
        <f>'Model Assumptions'!C53*(1+'Model Assumptions'!C9)^6</f>
        <v>661236.39993263106</v>
      </c>
    </row>
    <row r="14" spans="2:3" x14ac:dyDescent="0.25">
      <c r="B14" s="58" t="s">
        <v>47</v>
      </c>
      <c r="C14" s="122">
        <f>('Model Assumptions'!C54*'Model Assumptions'!Q12)*(1+'Model Assumptions'!C9)^6</f>
        <v>67569.745155840006</v>
      </c>
    </row>
    <row r="15" spans="2:3" x14ac:dyDescent="0.25">
      <c r="B15" s="58" t="s">
        <v>63</v>
      </c>
      <c r="C15" s="122">
        <f>('Model Assumptions'!C55*'Model Assumptions'!Q12)*(1+'Model Assumptions'!C9)^6</f>
        <v>67569.745155840006</v>
      </c>
    </row>
    <row r="16" spans="2:3" s="44" customFormat="1" x14ac:dyDescent="0.25">
      <c r="B16" s="58" t="s">
        <v>1</v>
      </c>
      <c r="C16" s="122">
        <f>('Model Assumptions'!C56*'Model Assumptions'!Q12)*(1+'Model Assumptions'!C9)^6</f>
        <v>84462.181444800008</v>
      </c>
    </row>
    <row r="17" spans="2:3" x14ac:dyDescent="0.25">
      <c r="B17" s="58" t="s">
        <v>101</v>
      </c>
      <c r="C17" s="122">
        <f>'Model Assumptions'!C57*(1+'Model Assumptions'!C9)^6</f>
        <v>33784.872577920003</v>
      </c>
    </row>
    <row r="18" spans="2:3" x14ac:dyDescent="0.25">
      <c r="B18" s="59" t="s">
        <v>34</v>
      </c>
      <c r="C18" s="124">
        <f>SUM(C13:C17)</f>
        <v>914622.94426703092</v>
      </c>
    </row>
    <row r="19" spans="2:3" x14ac:dyDescent="0.25">
      <c r="B19" s="60" t="s">
        <v>3</v>
      </c>
      <c r="C19" s="126">
        <f>C11-C18</f>
        <v>2739390.0848596804</v>
      </c>
    </row>
    <row r="20" spans="2:3" x14ac:dyDescent="0.25">
      <c r="B20" s="57" t="s">
        <v>172</v>
      </c>
      <c r="C20" s="124">
        <f>'Model Assumptions'!F9*(1+'Model Assumptions'!G9)^5*'Model Assumptions'!Q12/5+'Model Assumptions'!C15*'Model Assumptions'!D9*(1+'Model Assumptions'!G9)^5*'Model Assumptions'!Q12</f>
        <v>0</v>
      </c>
    </row>
    <row r="21" spans="2:3" x14ac:dyDescent="0.25">
      <c r="B21" s="57" t="s">
        <v>129</v>
      </c>
      <c r="C21" s="122">
        <f>'Model Assumptions'!G12*'Stabilized Proforma NOI (YR 6)'!C19</f>
        <v>27393.900848596804</v>
      </c>
    </row>
    <row r="22" spans="2:3" ht="16.5" thickBot="1" x14ac:dyDescent="0.3">
      <c r="B22" s="60" t="s">
        <v>134</v>
      </c>
      <c r="C22" s="127">
        <f>C19-C20-C21</f>
        <v>2711996.1840110836</v>
      </c>
    </row>
    <row r="23" spans="2:3" ht="16.5" thickTop="1" x14ac:dyDescent="0.25">
      <c r="B23"/>
      <c r="C23"/>
    </row>
  </sheetData>
  <mergeCells count="1">
    <mergeCell ref="B2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H37"/>
  <sheetViews>
    <sheetView showGridLines="0" zoomScale="80" zoomScaleNormal="80" zoomScalePageLayoutView="80" workbookViewId="0">
      <selection activeCell="J27" sqref="J27"/>
    </sheetView>
  </sheetViews>
  <sheetFormatPr defaultColWidth="11" defaultRowHeight="15.75" x14ac:dyDescent="0.25"/>
  <cols>
    <col min="2" max="2" width="41.875" bestFit="1" customWidth="1"/>
    <col min="3" max="3" width="12.75" bestFit="1" customWidth="1"/>
    <col min="4" max="7" width="11.125" bestFit="1" customWidth="1"/>
    <col min="8" max="8" width="12.125" bestFit="1" customWidth="1"/>
    <col min="15" max="15" width="33.375" bestFit="1" customWidth="1"/>
  </cols>
  <sheetData>
    <row r="3" spans="2:8" x14ac:dyDescent="0.25">
      <c r="B3" s="185" t="s">
        <v>181</v>
      </c>
      <c r="C3" s="185"/>
      <c r="D3" s="185"/>
      <c r="E3" s="185"/>
      <c r="F3" s="185"/>
      <c r="G3" s="185"/>
      <c r="H3" s="185"/>
    </row>
    <row r="4" spans="2:8" x14ac:dyDescent="0.25">
      <c r="B4" s="185"/>
      <c r="C4" s="185"/>
      <c r="D4" s="185"/>
      <c r="E4" s="185"/>
      <c r="F4" s="185"/>
      <c r="G4" s="185"/>
      <c r="H4" s="185"/>
    </row>
    <row r="6" spans="2:8" x14ac:dyDescent="0.25">
      <c r="B6" s="4" t="s">
        <v>7</v>
      </c>
      <c r="C6" s="186" t="s">
        <v>31</v>
      </c>
      <c r="D6" s="186"/>
      <c r="E6" s="186"/>
      <c r="F6" s="186"/>
      <c r="G6" s="186"/>
      <c r="H6" s="186"/>
    </row>
    <row r="7" spans="2:8" x14ac:dyDescent="0.25">
      <c r="C7" s="2">
        <v>0</v>
      </c>
      <c r="D7" s="2">
        <v>1</v>
      </c>
      <c r="E7" s="2">
        <v>2</v>
      </c>
      <c r="F7" s="2">
        <v>3</v>
      </c>
      <c r="G7" s="2">
        <v>4</v>
      </c>
      <c r="H7" s="2">
        <v>5</v>
      </c>
    </row>
    <row r="8" spans="2:8" x14ac:dyDescent="0.25">
      <c r="B8" s="144" t="s">
        <v>127</v>
      </c>
      <c r="C8" s="3"/>
      <c r="D8" s="3"/>
      <c r="E8" s="3"/>
      <c r="F8" s="3"/>
      <c r="G8" s="3"/>
      <c r="H8" s="3"/>
    </row>
    <row r="9" spans="2:8" ht="15.75" customHeight="1" x14ac:dyDescent="0.25">
      <c r="B9" s="12" t="s">
        <v>40</v>
      </c>
      <c r="C9" s="145"/>
      <c r="D9" s="145">
        <f>'Model Assumptions'!C31</f>
        <v>1040000</v>
      </c>
      <c r="E9" s="145">
        <f>'Model Assumptions'!D31</f>
        <v>1040000</v>
      </c>
      <c r="F9" s="145">
        <f>'Model Assumptions'!E31</f>
        <v>1040000</v>
      </c>
      <c r="G9" s="145">
        <f>'Model Assumptions'!F31</f>
        <v>1040000</v>
      </c>
      <c r="H9" s="145">
        <f>'Model Assumptions'!G31</f>
        <v>1040000</v>
      </c>
    </row>
    <row r="10" spans="2:8" ht="15.75" customHeight="1" x14ac:dyDescent="0.25">
      <c r="B10" s="12" t="s">
        <v>5</v>
      </c>
      <c r="C10" s="145"/>
      <c r="D10" s="145">
        <f>'Model Assumptions'!C32</f>
        <v>857500</v>
      </c>
      <c r="E10" s="145">
        <f>'Model Assumptions'!D32</f>
        <v>857500</v>
      </c>
      <c r="F10" s="145">
        <f>'Model Assumptions'!E32</f>
        <v>857500</v>
      </c>
      <c r="G10" s="145">
        <f>'Model Assumptions'!F32</f>
        <v>857500</v>
      </c>
      <c r="H10" s="145">
        <f>'Model Assumptions'!G32</f>
        <v>857500</v>
      </c>
    </row>
    <row r="11" spans="2:8" ht="15.75" customHeight="1" x14ac:dyDescent="0.25">
      <c r="B11" s="12" t="s">
        <v>6</v>
      </c>
      <c r="C11" s="145"/>
      <c r="D11" s="145">
        <f>'Model Assumptions'!C33</f>
        <v>687500</v>
      </c>
      <c r="E11" s="145">
        <f>'Model Assumptions'!D33</f>
        <v>687500</v>
      </c>
      <c r="F11" s="145">
        <f>'Model Assumptions'!E33</f>
        <v>687500</v>
      </c>
      <c r="G11" s="145">
        <f>'Model Assumptions'!F33</f>
        <v>687500</v>
      </c>
      <c r="H11" s="145">
        <f>'Model Assumptions'!G33</f>
        <v>687500</v>
      </c>
    </row>
    <row r="12" spans="2:8" ht="15.75" customHeight="1" x14ac:dyDescent="0.25">
      <c r="B12" s="11" t="s">
        <v>135</v>
      </c>
      <c r="C12" s="125"/>
      <c r="D12" s="125">
        <f>SUM(D9:D11)</f>
        <v>2585000</v>
      </c>
      <c r="E12" s="125">
        <f>SUM(E9:E11)</f>
        <v>2585000</v>
      </c>
      <c r="F12" s="125">
        <f>SUM(F9:F11)</f>
        <v>2585000</v>
      </c>
      <c r="G12" s="125">
        <f>SUM(G9:G11)</f>
        <v>2585000</v>
      </c>
      <c r="H12" s="125">
        <f>SUM(H9:H11)</f>
        <v>2585000</v>
      </c>
    </row>
    <row r="13" spans="2:8" ht="15.75" customHeight="1" x14ac:dyDescent="0.25">
      <c r="B13" s="11" t="s">
        <v>136</v>
      </c>
      <c r="C13" s="145"/>
      <c r="D13" s="146">
        <f>SUM('Model Assumptions'!C60:C64)</f>
        <v>812159</v>
      </c>
      <c r="E13" s="146">
        <f>SUM('Model Assumptions'!D60:D64)</f>
        <v>828402.18</v>
      </c>
      <c r="F13" s="146">
        <f>SUM('Model Assumptions'!E60:E64)</f>
        <v>844970.22360000003</v>
      </c>
      <c r="G13" s="146">
        <f>SUM('Model Assumptions'!F60:F64)</f>
        <v>861869.62807199988</v>
      </c>
      <c r="H13" s="146">
        <f>SUM('Model Assumptions'!G60:G64)</f>
        <v>879107.02063344</v>
      </c>
    </row>
    <row r="14" spans="2:8" ht="15.75" customHeight="1" x14ac:dyDescent="0.25">
      <c r="B14" s="144" t="s">
        <v>176</v>
      </c>
      <c r="C14" s="145"/>
      <c r="D14" s="145"/>
      <c r="E14" s="145"/>
      <c r="F14" s="145"/>
      <c r="G14" s="145"/>
      <c r="H14" s="145"/>
    </row>
    <row r="15" spans="2:8" ht="15.75" customHeight="1" x14ac:dyDescent="0.25">
      <c r="B15" s="12" t="s">
        <v>177</v>
      </c>
      <c r="C15" s="145"/>
      <c r="D15" s="145">
        <f>SUM('Model Assumptions'!C36:C38)</f>
        <v>120000</v>
      </c>
      <c r="E15" s="145">
        <f>SUM('Model Assumptions'!D36:D38)</f>
        <v>122400</v>
      </c>
      <c r="F15" s="145">
        <f>SUM('Model Assumptions'!E36:E38)</f>
        <v>124848</v>
      </c>
      <c r="G15" s="145">
        <f>SUM('Model Assumptions'!F36:F38)</f>
        <v>127344.95999999999</v>
      </c>
      <c r="H15" s="145">
        <f>SUM('Model Assumptions'!G36:G38)</f>
        <v>129891.85920000001</v>
      </c>
    </row>
    <row r="16" spans="2:8" ht="15.75" customHeight="1" x14ac:dyDescent="0.25">
      <c r="B16" s="1" t="s">
        <v>124</v>
      </c>
      <c r="C16" s="147"/>
      <c r="D16" s="147">
        <f>SUM(D12:D15)</f>
        <v>3517159</v>
      </c>
      <c r="E16" s="147">
        <f>SUM(E12:E15)</f>
        <v>3535802.18</v>
      </c>
      <c r="F16" s="147">
        <f>SUM(F12:F15)</f>
        <v>3554818.2236000001</v>
      </c>
      <c r="G16" s="147">
        <f>SUM(G12:G15)</f>
        <v>3574214.5880720001</v>
      </c>
      <c r="H16" s="147">
        <f>SUM(H12:H15)</f>
        <v>3593998.8798334398</v>
      </c>
    </row>
    <row r="17" spans="2:8" x14ac:dyDescent="0.25">
      <c r="B17" s="11" t="s">
        <v>137</v>
      </c>
      <c r="C17" s="145"/>
      <c r="D17" s="145"/>
      <c r="E17" s="145"/>
      <c r="F17" s="145"/>
      <c r="G17" s="145"/>
      <c r="H17" s="145"/>
    </row>
    <row r="18" spans="2:8" x14ac:dyDescent="0.25">
      <c r="B18" s="1" t="s">
        <v>2</v>
      </c>
      <c r="C18" s="126"/>
      <c r="D18" s="126">
        <f>D16-D17</f>
        <v>3517159</v>
      </c>
      <c r="E18" s="126">
        <f>E16-E17</f>
        <v>3535802.18</v>
      </c>
      <c r="F18" s="126">
        <f>F16-F17</f>
        <v>3554818.2236000001</v>
      </c>
      <c r="G18" s="126">
        <f>G16-G17</f>
        <v>3574214.5880720001</v>
      </c>
      <c r="H18" s="126">
        <f>H16-H17</f>
        <v>3593998.8798334398</v>
      </c>
    </row>
    <row r="19" spans="2:8" x14ac:dyDescent="0.25">
      <c r="B19" s="144" t="s">
        <v>128</v>
      </c>
      <c r="C19" s="145"/>
      <c r="D19" s="145"/>
      <c r="E19" s="145"/>
      <c r="F19" s="145"/>
      <c r="G19" s="145"/>
      <c r="H19" s="145"/>
    </row>
    <row r="20" spans="2:8" x14ac:dyDescent="0.25">
      <c r="B20" s="12" t="s">
        <v>100</v>
      </c>
      <c r="C20" s="145"/>
      <c r="D20" s="145">
        <f>'Model Assumptions'!C60</f>
        <v>587159</v>
      </c>
      <c r="E20" s="145">
        <f>'Model Assumptions'!D60</f>
        <v>598902.18000000005</v>
      </c>
      <c r="F20" s="145">
        <f>'Model Assumptions'!E60</f>
        <v>610880.22360000003</v>
      </c>
      <c r="G20" s="145">
        <f>'Model Assumptions'!F60</f>
        <v>623097.82807199995</v>
      </c>
      <c r="H20" s="145">
        <f>'Model Assumptions'!G60</f>
        <v>635559.78463343997</v>
      </c>
    </row>
    <row r="21" spans="2:8" s="44" customFormat="1" x14ac:dyDescent="0.25">
      <c r="B21" s="12" t="s">
        <v>47</v>
      </c>
      <c r="C21" s="145"/>
      <c r="D21" s="145">
        <f>'Model Assumptions'!C61</f>
        <v>60000</v>
      </c>
      <c r="E21" s="145">
        <f>'Model Assumptions'!D61</f>
        <v>61200</v>
      </c>
      <c r="F21" s="145">
        <f>'Model Assumptions'!E61</f>
        <v>62424</v>
      </c>
      <c r="G21" s="145">
        <f>'Model Assumptions'!F61</f>
        <v>63672.479999999996</v>
      </c>
      <c r="H21" s="145">
        <f>'Model Assumptions'!G61</f>
        <v>64945.929599999996</v>
      </c>
    </row>
    <row r="22" spans="2:8" s="44" customFormat="1" x14ac:dyDescent="0.25">
      <c r="B22" s="12" t="s">
        <v>63</v>
      </c>
      <c r="C22" s="145"/>
      <c r="D22" s="145">
        <f>'Model Assumptions'!C62</f>
        <v>60000</v>
      </c>
      <c r="E22" s="145">
        <f>'Model Assumptions'!D62</f>
        <v>61200</v>
      </c>
      <c r="F22" s="145">
        <f>'Model Assumptions'!E62</f>
        <v>62423.999999999993</v>
      </c>
      <c r="G22" s="145">
        <f>'Model Assumptions'!F62</f>
        <v>63672.479999999996</v>
      </c>
      <c r="H22" s="145">
        <f>'Model Assumptions'!G62</f>
        <v>64945.929600000003</v>
      </c>
    </row>
    <row r="23" spans="2:8" x14ac:dyDescent="0.25">
      <c r="B23" s="12" t="s">
        <v>1</v>
      </c>
      <c r="C23" s="145"/>
      <c r="D23" s="145">
        <f>'Model Assumptions'!C63</f>
        <v>75000</v>
      </c>
      <c r="E23" s="145">
        <f>'Model Assumptions'!D63</f>
        <v>76500</v>
      </c>
      <c r="F23" s="145">
        <f>'Model Assumptions'!E63</f>
        <v>78030</v>
      </c>
      <c r="G23" s="145">
        <f>'Model Assumptions'!F63</f>
        <v>79590.600000000006</v>
      </c>
      <c r="H23" s="145">
        <f>'Model Assumptions'!G63</f>
        <v>81182.412000000011</v>
      </c>
    </row>
    <row r="24" spans="2:8" x14ac:dyDescent="0.25">
      <c r="B24" s="12" t="s">
        <v>101</v>
      </c>
      <c r="C24" s="145"/>
      <c r="D24" s="145">
        <f>'Model Assumptions'!C64</f>
        <v>30000</v>
      </c>
      <c r="E24" s="145">
        <f>'Model Assumptions'!D64</f>
        <v>30600</v>
      </c>
      <c r="F24" s="145">
        <f>'Model Assumptions'!E64</f>
        <v>31212</v>
      </c>
      <c r="G24" s="145">
        <f>'Model Assumptions'!F64</f>
        <v>31836.239999999998</v>
      </c>
      <c r="H24" s="145">
        <f>'Model Assumptions'!G64</f>
        <v>32472.964799999998</v>
      </c>
    </row>
    <row r="25" spans="2:8" x14ac:dyDescent="0.25">
      <c r="B25" s="46" t="s">
        <v>64</v>
      </c>
      <c r="C25" s="148"/>
      <c r="D25" s="148">
        <f>SUM(D20:D24)</f>
        <v>812159</v>
      </c>
      <c r="E25" s="148">
        <f>SUM(E20:E24)</f>
        <v>828402.18</v>
      </c>
      <c r="F25" s="148">
        <f>SUM(F20:F24)</f>
        <v>844970.22360000003</v>
      </c>
      <c r="G25" s="148">
        <f>SUM(G20:G24)</f>
        <v>861869.62807199988</v>
      </c>
      <c r="H25" s="148">
        <f>SUM(H20:H24)</f>
        <v>879107.02063344</v>
      </c>
    </row>
    <row r="26" spans="2:8" s="44" customFormat="1" ht="16.5" thickBot="1" x14ac:dyDescent="0.3">
      <c r="B26" s="1" t="s">
        <v>3</v>
      </c>
      <c r="C26" s="149"/>
      <c r="D26" s="149">
        <f>D18-D25</f>
        <v>2705000</v>
      </c>
      <c r="E26" s="149">
        <f>E18-E25</f>
        <v>2707400</v>
      </c>
      <c r="F26" s="149">
        <f>F18-F25</f>
        <v>2709848</v>
      </c>
      <c r="G26" s="149">
        <f>G18-G25</f>
        <v>2712344.96</v>
      </c>
      <c r="H26" s="149">
        <f>H18-H25</f>
        <v>2714891.8591999998</v>
      </c>
    </row>
    <row r="27" spans="2:8" s="89" customFormat="1" x14ac:dyDescent="0.25">
      <c r="B27" s="12" t="s">
        <v>91</v>
      </c>
      <c r="C27" s="145"/>
      <c r="D27" s="145">
        <f>SUM('Model Assumptions'!C46:C48)</f>
        <v>0</v>
      </c>
      <c r="E27" s="145">
        <f>SUM('Model Assumptions'!D46:D48)</f>
        <v>0</v>
      </c>
      <c r="F27" s="145">
        <f>SUM('Model Assumptions'!E46:E48)</f>
        <v>0</v>
      </c>
      <c r="G27" s="145">
        <f>SUM('Model Assumptions'!F46:F48)</f>
        <v>0</v>
      </c>
      <c r="H27" s="145">
        <f>SUM('Model Assumptions'!G46:G48)</f>
        <v>0</v>
      </c>
    </row>
    <row r="28" spans="2:8" x14ac:dyDescent="0.25">
      <c r="B28" s="12" t="s">
        <v>170</v>
      </c>
      <c r="C28" s="145"/>
      <c r="D28" s="145">
        <f>SUM('Model Assumptions'!C41:C43)</f>
        <v>0</v>
      </c>
      <c r="E28" s="145">
        <f>SUM('Model Assumptions'!D41:D43)</f>
        <v>0</v>
      </c>
      <c r="F28" s="145">
        <f>SUM('Model Assumptions'!E41:E43)</f>
        <v>0</v>
      </c>
      <c r="G28" s="145">
        <f>SUM('Model Assumptions'!F41:F43)</f>
        <v>0</v>
      </c>
      <c r="H28" s="145">
        <f>SUM('Model Assumptions'!G41:G43)</f>
        <v>0</v>
      </c>
    </row>
    <row r="29" spans="2:8" x14ac:dyDescent="0.25">
      <c r="B29" s="12" t="s">
        <v>138</v>
      </c>
      <c r="C29" s="145"/>
      <c r="D29" s="145">
        <f>'Model Assumptions'!$G$12*'Unleveraged Net Cash Flows'!D26</f>
        <v>27050</v>
      </c>
      <c r="E29" s="145">
        <f>'Model Assumptions'!$G$12*'Unleveraged Net Cash Flows'!E26</f>
        <v>27074</v>
      </c>
      <c r="F29" s="145">
        <f>'Model Assumptions'!$G$12*'Unleveraged Net Cash Flows'!F26</f>
        <v>27098.48</v>
      </c>
      <c r="G29" s="145">
        <f>'Model Assumptions'!$G$12*'Unleveraged Net Cash Flows'!G26</f>
        <v>27123.4496</v>
      </c>
      <c r="H29" s="145">
        <f>'Model Assumptions'!$G$12*'Unleveraged Net Cash Flows'!H26</f>
        <v>27148.918591999998</v>
      </c>
    </row>
    <row r="30" spans="2:8" ht="16.5" thickBot="1" x14ac:dyDescent="0.3">
      <c r="B30" s="27" t="s">
        <v>134</v>
      </c>
      <c r="C30" s="149"/>
      <c r="D30" s="149">
        <f>D26-D27-D28-D29</f>
        <v>2677950</v>
      </c>
      <c r="E30" s="149">
        <f>E26-E27-E28-E29</f>
        <v>2680326</v>
      </c>
      <c r="F30" s="149">
        <f>F26-F27-F28-F29</f>
        <v>2682749.52</v>
      </c>
      <c r="G30" s="149">
        <f>G26-G27-G28-G29</f>
        <v>2685221.5104</v>
      </c>
      <c r="H30" s="149">
        <f>H26-H27-H28-H29</f>
        <v>2687742.9406079999</v>
      </c>
    </row>
    <row r="31" spans="2:8" x14ac:dyDescent="0.25">
      <c r="B31" s="11" t="s">
        <v>178</v>
      </c>
      <c r="C31" s="145"/>
      <c r="D31" s="145"/>
      <c r="E31" s="145"/>
      <c r="F31" s="145"/>
      <c r="G31" s="145"/>
      <c r="H31" s="145">
        <f>'Model Assumptions'!Q21</f>
        <v>37580518.549867868</v>
      </c>
    </row>
    <row r="32" spans="2:8" x14ac:dyDescent="0.25">
      <c r="B32" s="11" t="s">
        <v>179</v>
      </c>
      <c r="C32" s="145">
        <f>'Model Assumptions'!Q19</f>
        <v>34000000</v>
      </c>
      <c r="D32" s="145"/>
      <c r="E32" s="145"/>
      <c r="F32" s="145"/>
      <c r="G32" s="145"/>
      <c r="H32" s="145"/>
    </row>
    <row r="33" spans="2:8" ht="16.5" thickBot="1" x14ac:dyDescent="0.3">
      <c r="B33" s="1" t="s">
        <v>147</v>
      </c>
      <c r="C33" s="127">
        <f>C30+C31-C32</f>
        <v>-34000000</v>
      </c>
      <c r="D33" s="127">
        <f t="shared" ref="D33:H33" si="0">D30+D31-D32</f>
        <v>2677950</v>
      </c>
      <c r="E33" s="127">
        <f t="shared" si="0"/>
        <v>2680326</v>
      </c>
      <c r="F33" s="127">
        <f t="shared" si="0"/>
        <v>2682749.52</v>
      </c>
      <c r="G33" s="127">
        <f t="shared" si="0"/>
        <v>2685221.5104</v>
      </c>
      <c r="H33" s="127">
        <f t="shared" si="0"/>
        <v>40268261.490475871</v>
      </c>
    </row>
    <row r="34" spans="2:8" ht="16.5" thickTop="1" x14ac:dyDescent="0.25"/>
    <row r="35" spans="2:8" x14ac:dyDescent="0.25">
      <c r="B35" s="19" t="s">
        <v>60</v>
      </c>
    </row>
    <row r="36" spans="2:8" x14ac:dyDescent="0.25">
      <c r="B36" s="11" t="s">
        <v>61</v>
      </c>
      <c r="D36" s="7">
        <f>D26/(-$C$33)</f>
        <v>7.9558823529411765E-2</v>
      </c>
      <c r="E36" s="7">
        <f>E26/(-$C$33)</f>
        <v>7.9629411764705879E-2</v>
      </c>
      <c r="F36" s="7">
        <f>F26/(-$C$33)</f>
        <v>7.9701411764705882E-2</v>
      </c>
      <c r="G36" s="7">
        <f>G26/(-$C$33)</f>
        <v>7.9774851764705876E-2</v>
      </c>
      <c r="H36" s="7">
        <f>H26/(-$C$33)</f>
        <v>7.9849760564705871E-2</v>
      </c>
    </row>
    <row r="37" spans="2:8" x14ac:dyDescent="0.25">
      <c r="B37" s="11"/>
    </row>
  </sheetData>
  <mergeCells count="2">
    <mergeCell ref="B3:H4"/>
    <mergeCell ref="C6:H6"/>
  </mergeCells>
  <printOptions gridLines="1"/>
  <pageMargins left="0.75" right="0.75" top="1" bottom="1" header="0.5" footer="0.5"/>
  <pageSetup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H19"/>
  <sheetViews>
    <sheetView showGridLines="0" zoomScale="80" zoomScaleNormal="80" zoomScalePageLayoutView="80" workbookViewId="0">
      <selection activeCell="J29" sqref="J29"/>
    </sheetView>
  </sheetViews>
  <sheetFormatPr defaultColWidth="11" defaultRowHeight="15.75" x14ac:dyDescent="0.25"/>
  <cols>
    <col min="2" max="2" width="29.625" bestFit="1" customWidth="1"/>
    <col min="3" max="3" width="12.75" bestFit="1" customWidth="1"/>
    <col min="4" max="7" width="11.125" bestFit="1" customWidth="1"/>
    <col min="8" max="8" width="12.125" bestFit="1" customWidth="1"/>
  </cols>
  <sheetData>
    <row r="3" spans="2:8" x14ac:dyDescent="0.25">
      <c r="B3" s="188" t="s">
        <v>154</v>
      </c>
      <c r="C3" s="188"/>
      <c r="D3" s="188"/>
      <c r="E3" s="188"/>
      <c r="F3" s="188"/>
      <c r="G3" s="188"/>
      <c r="H3" s="188"/>
    </row>
    <row r="4" spans="2:8" x14ac:dyDescent="0.25">
      <c r="B4" s="188"/>
      <c r="C4" s="188"/>
      <c r="D4" s="188"/>
      <c r="E4" s="188"/>
      <c r="F4" s="188"/>
      <c r="G4" s="188"/>
      <c r="H4" s="188"/>
    </row>
    <row r="6" spans="2:8" x14ac:dyDescent="0.25">
      <c r="B6" s="186" t="s">
        <v>9</v>
      </c>
      <c r="C6" s="186"/>
      <c r="D6" s="186"/>
      <c r="E6" s="186"/>
      <c r="F6" s="186"/>
      <c r="G6" s="186"/>
      <c r="H6" s="186"/>
    </row>
    <row r="7" spans="2:8" x14ac:dyDescent="0.25">
      <c r="B7" s="5" t="s">
        <v>4</v>
      </c>
      <c r="C7" s="189">
        <f>'Model Assumptions'!D12</f>
        <v>7.0000000000000007E-2</v>
      </c>
      <c r="D7" s="189"/>
      <c r="E7" s="189"/>
      <c r="F7" s="189"/>
      <c r="G7" s="189"/>
      <c r="H7" s="189"/>
    </row>
    <row r="8" spans="2:8" x14ac:dyDescent="0.25">
      <c r="B8" s="5" t="s">
        <v>10</v>
      </c>
      <c r="C8" s="189">
        <f>'Model Assumptions'!C9</f>
        <v>0.02</v>
      </c>
      <c r="D8" s="189"/>
      <c r="E8" s="189"/>
      <c r="F8" s="189"/>
      <c r="G8" s="189"/>
      <c r="H8" s="189"/>
    </row>
    <row r="9" spans="2:8" x14ac:dyDescent="0.25">
      <c r="B9" s="5" t="s">
        <v>11</v>
      </c>
      <c r="C9" s="189">
        <f>IF('Model Assumptions'!G73="",C7+C8,'Model Assumptions'!G73)</f>
        <v>9.0000000000000011E-2</v>
      </c>
      <c r="D9" s="189"/>
      <c r="E9" s="189"/>
      <c r="F9" s="189"/>
      <c r="G9" s="189"/>
      <c r="H9" s="189"/>
    </row>
    <row r="11" spans="2:8" x14ac:dyDescent="0.25">
      <c r="B11" s="187" t="s">
        <v>31</v>
      </c>
      <c r="C11" s="187"/>
      <c r="D11" s="187"/>
      <c r="E11" s="187"/>
      <c r="F11" s="187"/>
      <c r="G11" s="187"/>
      <c r="H11" s="187"/>
    </row>
    <row r="12" spans="2:8" ht="15.75" customHeight="1" x14ac:dyDescent="0.25">
      <c r="C12" s="18">
        <v>0</v>
      </c>
      <c r="D12" s="18">
        <v>1</v>
      </c>
      <c r="E12" s="18">
        <v>2</v>
      </c>
      <c r="F12" s="18">
        <v>3</v>
      </c>
      <c r="G12" s="18">
        <v>4</v>
      </c>
      <c r="H12" s="18">
        <v>5</v>
      </c>
    </row>
    <row r="13" spans="2:8" ht="15.75" customHeight="1" x14ac:dyDescent="0.25">
      <c r="B13" s="5" t="s">
        <v>146</v>
      </c>
      <c r="C13" s="145">
        <f>'Unleveraged Net Cash Flows'!C33</f>
        <v>-34000000</v>
      </c>
      <c r="D13" s="145">
        <f>'Unleveraged Net Cash Flows'!D33</f>
        <v>2677950</v>
      </c>
      <c r="E13" s="145">
        <f>'Unleveraged Net Cash Flows'!E33</f>
        <v>2680326</v>
      </c>
      <c r="F13" s="145">
        <f>'Unleveraged Net Cash Flows'!F33</f>
        <v>2682749.52</v>
      </c>
      <c r="G13" s="145">
        <f>'Unleveraged Net Cash Flows'!G33</f>
        <v>2685221.5104</v>
      </c>
      <c r="H13" s="145">
        <f>'Unleveraged Net Cash Flows'!H33</f>
        <v>40268261.490475871</v>
      </c>
    </row>
    <row r="14" spans="2:8" ht="15.75" customHeight="1" x14ac:dyDescent="0.25">
      <c r="B14" s="5" t="s">
        <v>8</v>
      </c>
      <c r="C14" s="145">
        <f>C13/(1+C9)^C12</f>
        <v>-34000000</v>
      </c>
      <c r="D14" s="145">
        <f>D13/((1+$C$9)^D12)</f>
        <v>2456834.8623853209</v>
      </c>
      <c r="E14" s="145">
        <f>E13/((1+$C$9)^E12)</f>
        <v>2255976.7696321853</v>
      </c>
      <c r="F14" s="145">
        <f>F13/((1+$C$9)^F12)</f>
        <v>2071574.8604857493</v>
      </c>
      <c r="G14" s="145">
        <f>G13/((1+$C$9)^G12)</f>
        <v>1902278.6152619256</v>
      </c>
      <c r="H14" s="145">
        <f>H13/((1+$C$9)^H12)</f>
        <v>26171607.014329255</v>
      </c>
    </row>
    <row r="15" spans="2:8" ht="15.75" customHeight="1" x14ac:dyDescent="0.25">
      <c r="B15" s="5"/>
      <c r="C15" s="80"/>
      <c r="D15" s="80"/>
      <c r="E15" s="80"/>
      <c r="F15" s="80"/>
      <c r="G15" s="80"/>
      <c r="H15" s="80"/>
    </row>
    <row r="16" spans="2:8" ht="31.5" x14ac:dyDescent="0.25">
      <c r="B16" s="154" t="s">
        <v>158</v>
      </c>
      <c r="C16" s="145">
        <f>SUM(C13:H13)</f>
        <v>16994508.520875871</v>
      </c>
      <c r="D16" s="80"/>
      <c r="E16" s="80"/>
      <c r="F16" s="80"/>
      <c r="G16" s="80"/>
      <c r="H16" s="80"/>
    </row>
    <row r="17" spans="2:8" ht="15.75" customHeight="1" x14ac:dyDescent="0.25">
      <c r="B17" s="45" t="s">
        <v>65</v>
      </c>
      <c r="C17" s="145">
        <f>SUM(D14:H14)</f>
        <v>34858272.122094437</v>
      </c>
      <c r="D17" s="80"/>
      <c r="E17" s="80"/>
      <c r="F17" s="80"/>
      <c r="G17" s="80"/>
      <c r="H17" s="80"/>
    </row>
    <row r="18" spans="2:8" ht="15.75" customHeight="1" x14ac:dyDescent="0.25">
      <c r="B18" s="5" t="s">
        <v>12</v>
      </c>
      <c r="C18" s="145">
        <f>SUM(C14:H14)</f>
        <v>858272.12209443748</v>
      </c>
      <c r="D18" s="80"/>
      <c r="E18" s="80"/>
      <c r="F18" s="80"/>
      <c r="G18" s="80"/>
      <c r="H18" s="80"/>
    </row>
    <row r="19" spans="2:8" x14ac:dyDescent="0.25">
      <c r="B19" s="5" t="s">
        <v>13</v>
      </c>
      <c r="C19" s="7">
        <f>IRR(C13:H13)</f>
        <v>9.6270617709149464E-2</v>
      </c>
    </row>
  </sheetData>
  <mergeCells count="6">
    <mergeCell ref="B11:H11"/>
    <mergeCell ref="B3:H4"/>
    <mergeCell ref="B6:H6"/>
    <mergeCell ref="C7:H7"/>
    <mergeCell ref="C8:H8"/>
    <mergeCell ref="C9:H9"/>
  </mergeCells>
  <printOptions gridLines="1"/>
  <pageMargins left="0.75" right="0.75" top="1" bottom="1" header="0.5" footer="0.5"/>
  <pageSetup scale="70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J31"/>
  <sheetViews>
    <sheetView showGridLines="0" zoomScale="80" zoomScaleNormal="80" zoomScalePageLayoutView="80" workbookViewId="0">
      <selection activeCell="B2" sqref="B2:J27"/>
    </sheetView>
  </sheetViews>
  <sheetFormatPr defaultColWidth="11" defaultRowHeight="15.75" x14ac:dyDescent="0.25"/>
  <cols>
    <col min="2" max="2" width="37.125" bestFit="1" customWidth="1"/>
    <col min="3" max="3" width="15.875" bestFit="1" customWidth="1"/>
    <col min="4" max="4" width="16.375" bestFit="1" customWidth="1"/>
    <col min="5" max="5" width="21.125" bestFit="1" customWidth="1"/>
    <col min="6" max="10" width="14.875" bestFit="1" customWidth="1"/>
  </cols>
  <sheetData>
    <row r="2" spans="2:10" ht="15.75" customHeight="1" x14ac:dyDescent="0.25">
      <c r="B2" s="185" t="s">
        <v>153</v>
      </c>
      <c r="C2" s="185"/>
      <c r="D2" s="185"/>
      <c r="E2" s="185"/>
      <c r="F2" s="185"/>
      <c r="G2" s="185"/>
      <c r="H2" s="185"/>
      <c r="I2" s="185"/>
      <c r="J2" s="185"/>
    </row>
    <row r="3" spans="2:10" ht="15.75" customHeight="1" x14ac:dyDescent="0.25">
      <c r="B3" s="185"/>
      <c r="C3" s="185"/>
      <c r="D3" s="185"/>
      <c r="E3" s="185"/>
      <c r="F3" s="185"/>
      <c r="G3" s="185"/>
      <c r="H3" s="185"/>
      <c r="I3" s="185"/>
      <c r="J3" s="185"/>
    </row>
    <row r="4" spans="2:10" ht="15.75" customHeight="1" x14ac:dyDescent="0.25"/>
    <row r="5" spans="2:10" ht="15.75" customHeight="1" x14ac:dyDescent="0.25">
      <c r="B5" s="186" t="s">
        <v>28</v>
      </c>
      <c r="C5" s="186"/>
      <c r="E5" s="1" t="s">
        <v>21</v>
      </c>
      <c r="F5" s="186" t="s">
        <v>25</v>
      </c>
      <c r="G5" s="186"/>
      <c r="H5" s="186"/>
      <c r="I5" s="186"/>
      <c r="J5" s="186"/>
    </row>
    <row r="6" spans="2:10" ht="15.75" customHeight="1" x14ac:dyDescent="0.25">
      <c r="B6" s="5"/>
      <c r="E6" s="5"/>
      <c r="F6" s="18">
        <v>1</v>
      </c>
      <c r="G6" s="18">
        <v>2</v>
      </c>
      <c r="H6" s="18">
        <v>3</v>
      </c>
      <c r="I6" s="18">
        <v>4</v>
      </c>
      <c r="J6" s="18">
        <v>5</v>
      </c>
    </row>
    <row r="7" spans="2:10" ht="15.75" customHeight="1" x14ac:dyDescent="0.25">
      <c r="B7" s="5" t="s">
        <v>16</v>
      </c>
      <c r="C7" s="6">
        <f>'Model Assumptions'!C68</f>
        <v>0.7</v>
      </c>
      <c r="E7" s="5" t="s">
        <v>22</v>
      </c>
      <c r="F7" s="146">
        <f>C25</f>
        <v>20924578.606620353</v>
      </c>
      <c r="G7" s="146">
        <f>F10</f>
        <v>20587231.258056078</v>
      </c>
      <c r="H7" s="146">
        <f>G10</f>
        <v>20226728.703749489</v>
      </c>
      <c r="I7" s="146">
        <f>H10</f>
        <v>19841481.592086442</v>
      </c>
      <c r="J7" s="146">
        <f>I10</f>
        <v>19429791.479848009</v>
      </c>
    </row>
    <row r="8" spans="2:10" ht="15.75" customHeight="1" x14ac:dyDescent="0.25">
      <c r="B8" s="5" t="s">
        <v>102</v>
      </c>
      <c r="C8" s="13">
        <f>'Model Assumptions'!C69</f>
        <v>1.4</v>
      </c>
      <c r="E8" s="5" t="s">
        <v>23</v>
      </c>
      <c r="F8" s="151">
        <f>-CUMIPMT($C$13,$C$9*$C$10,$F$7,E6*$C$10+1,F6*$C$10,0)</f>
        <v>1382777.6514357165</v>
      </c>
      <c r="G8" s="151">
        <f>-CUMIPMT($C$13,$C$9*$C$10,$F$7,F6*$C$10+1,G6*$C$10,0)</f>
        <v>1359622.4456934035</v>
      </c>
      <c r="H8" s="151">
        <f>-CUMIPMT($C$13,$C$9*$C$10,$F$7,G6*$C$10+1,H6*$C$10,0)</f>
        <v>1334877.8883369437</v>
      </c>
      <c r="I8" s="151">
        <f>-CUMIPMT($C$13,$C$9*$C$10,$F$7,H6*$C$10+1,I6*$C$10,0)</f>
        <v>1308434.8877615589</v>
      </c>
      <c r="J8" s="151">
        <f>-CUMIPMT($C$13,$C$9*$C$10,$F$7,I6*$C$10+1,J6*$C$10,0)</f>
        <v>1280176.8644169928</v>
      </c>
    </row>
    <row r="9" spans="2:10" ht="15.75" customHeight="1" x14ac:dyDescent="0.25">
      <c r="B9" s="5" t="s">
        <v>139</v>
      </c>
      <c r="C9">
        <f>'Model Assumptions'!C70</f>
        <v>25</v>
      </c>
      <c r="E9" s="5" t="s">
        <v>24</v>
      </c>
      <c r="F9" s="146">
        <f>C27-F8</f>
        <v>337347.34856427461</v>
      </c>
      <c r="G9" s="146">
        <f>$C$27-G8</f>
        <v>360502.55430658767</v>
      </c>
      <c r="H9" s="146">
        <f>$C$27-H8</f>
        <v>385247.11166304746</v>
      </c>
      <c r="I9" s="146">
        <f>$C$27-I8</f>
        <v>411690.11223843228</v>
      </c>
      <c r="J9" s="146">
        <f>$C$27-J8</f>
        <v>439948.13558299839</v>
      </c>
    </row>
    <row r="10" spans="2:10" ht="15.75" customHeight="1" x14ac:dyDescent="0.25">
      <c r="B10" s="5" t="s">
        <v>19</v>
      </c>
      <c r="C10">
        <f>'Model Assumptions'!C71</f>
        <v>12</v>
      </c>
      <c r="E10" s="5" t="s">
        <v>26</v>
      </c>
      <c r="F10" s="146">
        <f>F7-F9</f>
        <v>20587231.258056078</v>
      </c>
      <c r="G10" s="146">
        <f>G7-G9</f>
        <v>20226728.703749489</v>
      </c>
      <c r="H10" s="146">
        <f>H7-H9</f>
        <v>19841481.592086442</v>
      </c>
      <c r="I10" s="146">
        <f>I7-I9</f>
        <v>19429791.479848009</v>
      </c>
      <c r="J10" s="146">
        <f>J7-J9</f>
        <v>18989843.34426501</v>
      </c>
    </row>
    <row r="11" spans="2:10" x14ac:dyDescent="0.25">
      <c r="B11" s="5" t="s">
        <v>140</v>
      </c>
      <c r="C11" s="7">
        <f>'Model Assumptions'!C72</f>
        <v>6.7500000000000004E-2</v>
      </c>
      <c r="E11" s="5"/>
    </row>
    <row r="12" spans="2:10" x14ac:dyDescent="0.25">
      <c r="B12" s="5" t="s">
        <v>141</v>
      </c>
      <c r="C12" s="7">
        <f>IF('Model Assumptions'!C73&gt;0,((1+(C11/2))^2)-1,((1+(C11/12))^12)-1)</f>
        <v>6.8639062499999959E-2</v>
      </c>
      <c r="E12" s="186" t="s">
        <v>32</v>
      </c>
      <c r="F12" s="186"/>
      <c r="G12" s="186"/>
      <c r="H12" s="186"/>
      <c r="I12" s="186"/>
      <c r="J12" s="186"/>
    </row>
    <row r="13" spans="2:10" x14ac:dyDescent="0.25">
      <c r="B13" s="5" t="s">
        <v>27</v>
      </c>
      <c r="C13" s="7">
        <f>((1+C12)^(1/C10))-1</f>
        <v>5.5474918874014456E-3</v>
      </c>
    </row>
    <row r="14" spans="2:10" x14ac:dyDescent="0.25">
      <c r="B14" s="5"/>
    </row>
    <row r="15" spans="2:10" x14ac:dyDescent="0.25">
      <c r="B15" s="5" t="s">
        <v>15</v>
      </c>
      <c r="C15" s="145">
        <f>'Model Assumptions'!Q19</f>
        <v>34000000</v>
      </c>
    </row>
    <row r="16" spans="2:10" x14ac:dyDescent="0.25">
      <c r="B16" s="5" t="s">
        <v>168</v>
      </c>
      <c r="C16" s="145">
        <f>C25*'Model Assumptions'!$C$74</f>
        <v>209245.78606620352</v>
      </c>
    </row>
    <row r="17" spans="2:4" x14ac:dyDescent="0.25">
      <c r="B17" s="5" t="s">
        <v>14</v>
      </c>
      <c r="C17" s="145">
        <f>SUM(C15:C16)</f>
        <v>34209245.786066204</v>
      </c>
    </row>
    <row r="18" spans="2:4" x14ac:dyDescent="0.25">
      <c r="B18" s="5"/>
      <c r="C18" s="145"/>
    </row>
    <row r="19" spans="2:4" x14ac:dyDescent="0.25">
      <c r="B19" s="5" t="s">
        <v>18</v>
      </c>
      <c r="C19" s="145">
        <f>'Stabilized Proforma NOI (YR 1)'!C22</f>
        <v>2408175</v>
      </c>
    </row>
    <row r="20" spans="2:4" x14ac:dyDescent="0.25">
      <c r="B20" s="83" t="s">
        <v>142</v>
      </c>
      <c r="C20" s="145">
        <f>C19/C8</f>
        <v>1720125</v>
      </c>
    </row>
    <row r="21" spans="2:4" x14ac:dyDescent="0.25">
      <c r="B21" s="5"/>
      <c r="C21" s="80"/>
    </row>
    <row r="22" spans="2:4" x14ac:dyDescent="0.25">
      <c r="B22" s="5" t="s">
        <v>17</v>
      </c>
      <c r="C22" s="145">
        <f>C15*C7</f>
        <v>23800000</v>
      </c>
    </row>
    <row r="23" spans="2:4" x14ac:dyDescent="0.25">
      <c r="B23" s="5" t="s">
        <v>143</v>
      </c>
      <c r="C23" s="150">
        <f>PV(C13,C9*C10,-C20/C10)</f>
        <v>20924578.606620353</v>
      </c>
      <c r="D23" s="61"/>
    </row>
    <row r="24" spans="2:4" x14ac:dyDescent="0.25">
      <c r="B24" s="5"/>
      <c r="C24" s="80"/>
    </row>
    <row r="25" spans="2:4" x14ac:dyDescent="0.25">
      <c r="B25" s="5" t="s">
        <v>144</v>
      </c>
      <c r="C25" s="145">
        <f>IF(C22="",C23,MIN(C22:C23))</f>
        <v>20924578.606620353</v>
      </c>
    </row>
    <row r="26" spans="2:4" x14ac:dyDescent="0.25">
      <c r="B26" s="5" t="s">
        <v>20</v>
      </c>
      <c r="C26" s="145">
        <f>C17-C25</f>
        <v>13284667.179445852</v>
      </c>
    </row>
    <row r="27" spans="2:4" x14ac:dyDescent="0.25">
      <c r="B27" s="5" t="s">
        <v>19</v>
      </c>
      <c r="C27" s="145">
        <f>PMT(C13,C9*C10,-C25)*C10</f>
        <v>1720124.9999999912</v>
      </c>
    </row>
    <row r="28" spans="2:4" x14ac:dyDescent="0.25">
      <c r="C28" s="48"/>
    </row>
    <row r="31" spans="2:4" x14ac:dyDescent="0.25">
      <c r="C31" s="61"/>
      <c r="D31" s="49"/>
    </row>
  </sheetData>
  <mergeCells count="4">
    <mergeCell ref="F5:J5"/>
    <mergeCell ref="B5:C5"/>
    <mergeCell ref="B2:J3"/>
    <mergeCell ref="E12:J12"/>
  </mergeCells>
  <phoneticPr fontId="5" type="noConversion"/>
  <printOptions gridLines="1"/>
  <pageMargins left="0.75000000000000011" right="0.75000000000000011" top="1" bottom="1" header="0.5" footer="0.5"/>
  <pageSetup scale="70" orientation="landscape" horizontalDpi="4294967292" verticalDpi="429496729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H49"/>
  <sheetViews>
    <sheetView showGridLines="0" showZeros="0" zoomScale="80" zoomScaleNormal="80" zoomScalePageLayoutView="80" workbookViewId="0">
      <selection activeCell="B3" sqref="B3:H43"/>
    </sheetView>
  </sheetViews>
  <sheetFormatPr defaultColWidth="11" defaultRowHeight="15.75" x14ac:dyDescent="0.25"/>
  <cols>
    <col min="2" max="2" width="41.875" bestFit="1" customWidth="1"/>
    <col min="3" max="3" width="12.75" bestFit="1" customWidth="1"/>
    <col min="4" max="7" width="11.125" bestFit="1" customWidth="1"/>
    <col min="8" max="8" width="12.125" bestFit="1" customWidth="1"/>
    <col min="9" max="9" width="11" customWidth="1"/>
    <col min="13" max="13" width="33.375" bestFit="1" customWidth="1"/>
  </cols>
  <sheetData>
    <row r="3" spans="2:8" ht="15.75" customHeight="1" x14ac:dyDescent="0.25">
      <c r="B3" s="185" t="s">
        <v>182</v>
      </c>
      <c r="C3" s="185"/>
      <c r="D3" s="185"/>
      <c r="E3" s="185"/>
      <c r="F3" s="185"/>
      <c r="G3" s="185"/>
      <c r="H3" s="185"/>
    </row>
    <row r="4" spans="2:8" ht="15.75" customHeight="1" x14ac:dyDescent="0.25">
      <c r="B4" s="185"/>
      <c r="C4" s="185"/>
      <c r="D4" s="185"/>
      <c r="E4" s="185"/>
      <c r="F4" s="185"/>
      <c r="G4" s="185"/>
      <c r="H4" s="185"/>
    </row>
    <row r="5" spans="2:8" s="97" customFormat="1" ht="15.75" customHeight="1" x14ac:dyDescent="0.25">
      <c r="B5" s="152"/>
      <c r="C5" s="152"/>
      <c r="D5" s="152"/>
      <c r="E5" s="152"/>
      <c r="F5" s="152"/>
      <c r="G5" s="152"/>
      <c r="H5" s="152"/>
    </row>
    <row r="6" spans="2:8" x14ac:dyDescent="0.25">
      <c r="B6" s="98" t="s">
        <v>7</v>
      </c>
      <c r="C6" s="186" t="s">
        <v>31</v>
      </c>
      <c r="D6" s="186"/>
      <c r="E6" s="186"/>
      <c r="F6" s="186"/>
      <c r="G6" s="186"/>
      <c r="H6" s="186"/>
    </row>
    <row r="7" spans="2:8" x14ac:dyDescent="0.25">
      <c r="B7" s="97"/>
      <c r="C7" s="99">
        <v>0</v>
      </c>
      <c r="D7" s="99">
        <v>1</v>
      </c>
      <c r="E7" s="99">
        <v>2</v>
      </c>
      <c r="F7" s="99">
        <v>3</v>
      </c>
      <c r="G7" s="99">
        <v>4</v>
      </c>
      <c r="H7" s="99">
        <v>5</v>
      </c>
    </row>
    <row r="8" spans="2:8" x14ac:dyDescent="0.25">
      <c r="B8" s="144" t="s">
        <v>127</v>
      </c>
      <c r="C8" s="3"/>
      <c r="D8" s="3"/>
      <c r="E8" s="3"/>
      <c r="F8" s="3"/>
      <c r="G8" s="3"/>
      <c r="H8" s="3"/>
    </row>
    <row r="9" spans="2:8" x14ac:dyDescent="0.25">
      <c r="B9" s="12" t="s">
        <v>40</v>
      </c>
      <c r="C9" s="145"/>
      <c r="D9" s="145">
        <f>'Model Assumptions'!C31</f>
        <v>1040000</v>
      </c>
      <c r="E9" s="145">
        <f>'Model Assumptions'!D31</f>
        <v>1040000</v>
      </c>
      <c r="F9" s="145">
        <f>'Model Assumptions'!E31</f>
        <v>1040000</v>
      </c>
      <c r="G9" s="145">
        <f>'Model Assumptions'!F31</f>
        <v>1040000</v>
      </c>
      <c r="H9" s="145">
        <f>'Model Assumptions'!G31</f>
        <v>1040000</v>
      </c>
    </row>
    <row r="10" spans="2:8" x14ac:dyDescent="0.25">
      <c r="B10" s="12" t="s">
        <v>5</v>
      </c>
      <c r="C10" s="145"/>
      <c r="D10" s="145">
        <f>'Model Assumptions'!C32</f>
        <v>857500</v>
      </c>
      <c r="E10" s="145">
        <f>'Model Assumptions'!D32</f>
        <v>857500</v>
      </c>
      <c r="F10" s="145">
        <f>'Model Assumptions'!E32</f>
        <v>857500</v>
      </c>
      <c r="G10" s="145">
        <f>'Model Assumptions'!F32</f>
        <v>857500</v>
      </c>
      <c r="H10" s="145">
        <f>'Model Assumptions'!G32</f>
        <v>857500</v>
      </c>
    </row>
    <row r="11" spans="2:8" x14ac:dyDescent="0.25">
      <c r="B11" s="12" t="s">
        <v>6</v>
      </c>
      <c r="C11" s="145"/>
      <c r="D11" s="145">
        <f>'Model Assumptions'!C33</f>
        <v>687500</v>
      </c>
      <c r="E11" s="145">
        <f>'Model Assumptions'!D33</f>
        <v>687500</v>
      </c>
      <c r="F11" s="145">
        <f>'Model Assumptions'!E33</f>
        <v>687500</v>
      </c>
      <c r="G11" s="145">
        <f>'Model Assumptions'!F33</f>
        <v>687500</v>
      </c>
      <c r="H11" s="145">
        <f>'Model Assumptions'!G33</f>
        <v>687500</v>
      </c>
    </row>
    <row r="12" spans="2:8" x14ac:dyDescent="0.25">
      <c r="B12" s="11" t="s">
        <v>135</v>
      </c>
      <c r="C12" s="125"/>
      <c r="D12" s="125">
        <f>SUM(D9:D11)</f>
        <v>2585000</v>
      </c>
      <c r="E12" s="125">
        <f>SUM(E9:E11)</f>
        <v>2585000</v>
      </c>
      <c r="F12" s="125">
        <f>SUM(F9:F11)</f>
        <v>2585000</v>
      </c>
      <c r="G12" s="125">
        <f>SUM(G9:G11)</f>
        <v>2585000</v>
      </c>
      <c r="H12" s="125">
        <f>SUM(H9:H11)</f>
        <v>2585000</v>
      </c>
    </row>
    <row r="13" spans="2:8" x14ac:dyDescent="0.25">
      <c r="B13" s="11" t="s">
        <v>136</v>
      </c>
      <c r="C13" s="145"/>
      <c r="D13" s="146">
        <f>SUM('Model Assumptions'!C60:C64)</f>
        <v>812159</v>
      </c>
      <c r="E13" s="146">
        <f>SUM('Model Assumptions'!D60:D64)</f>
        <v>828402.18</v>
      </c>
      <c r="F13" s="146">
        <f>SUM('Model Assumptions'!E60:E64)</f>
        <v>844970.22360000003</v>
      </c>
      <c r="G13" s="146">
        <f>SUM('Model Assumptions'!F60:F64)</f>
        <v>861869.62807199988</v>
      </c>
      <c r="H13" s="146">
        <f>SUM('Model Assumptions'!G60:G64)</f>
        <v>879107.02063344</v>
      </c>
    </row>
    <row r="14" spans="2:8" x14ac:dyDescent="0.25">
      <c r="B14" s="11" t="s">
        <v>0</v>
      </c>
      <c r="C14" s="145"/>
      <c r="D14" s="145"/>
      <c r="E14" s="145"/>
      <c r="F14" s="145"/>
      <c r="G14" s="145"/>
      <c r="H14" s="145"/>
    </row>
    <row r="15" spans="2:8" x14ac:dyDescent="0.25">
      <c r="B15" s="12" t="s">
        <v>123</v>
      </c>
      <c r="C15" s="145"/>
      <c r="D15" s="145">
        <f>SUM('Model Assumptions'!C36:C38)</f>
        <v>120000</v>
      </c>
      <c r="E15" s="145">
        <f>SUM('Model Assumptions'!D36:D38)</f>
        <v>122400</v>
      </c>
      <c r="F15" s="145">
        <f>SUM('Model Assumptions'!E36:E38)</f>
        <v>124848</v>
      </c>
      <c r="G15" s="145">
        <f>SUM('Model Assumptions'!F36:F38)</f>
        <v>127344.95999999999</v>
      </c>
      <c r="H15" s="145">
        <f>SUM('Model Assumptions'!G36:G38)</f>
        <v>129891.85920000001</v>
      </c>
    </row>
    <row r="16" spans="2:8" x14ac:dyDescent="0.25">
      <c r="B16" s="1" t="s">
        <v>124</v>
      </c>
      <c r="C16" s="147"/>
      <c r="D16" s="147">
        <f>SUM(D12:D15)</f>
        <v>3517159</v>
      </c>
      <c r="E16" s="147">
        <f>SUM(E12:E15)</f>
        <v>3535802.18</v>
      </c>
      <c r="F16" s="147">
        <f>SUM(F12:F15)</f>
        <v>3554818.2236000001</v>
      </c>
      <c r="G16" s="147">
        <f>SUM(G12:G15)</f>
        <v>3574214.5880720001</v>
      </c>
      <c r="H16" s="147">
        <f>SUM(H12:H15)</f>
        <v>3593998.8798334398</v>
      </c>
    </row>
    <row r="17" spans="2:8" x14ac:dyDescent="0.25">
      <c r="B17" s="11" t="s">
        <v>145</v>
      </c>
      <c r="C17" s="145"/>
      <c r="D17" s="145"/>
      <c r="E17" s="145">
        <v>0</v>
      </c>
      <c r="F17" s="145"/>
      <c r="G17" s="145"/>
      <c r="H17" s="145"/>
    </row>
    <row r="18" spans="2:8" x14ac:dyDescent="0.25">
      <c r="B18" s="1" t="s">
        <v>2</v>
      </c>
      <c r="C18" s="126"/>
      <c r="D18" s="126">
        <f>D16-D17</f>
        <v>3517159</v>
      </c>
      <c r="E18" s="126">
        <f>E16-E17</f>
        <v>3535802.18</v>
      </c>
      <c r="F18" s="126">
        <f>F16-F17</f>
        <v>3554818.2236000001</v>
      </c>
      <c r="G18" s="126">
        <f>G16-G17</f>
        <v>3574214.5880720001</v>
      </c>
      <c r="H18" s="126">
        <f>H16-H17</f>
        <v>3593998.8798334398</v>
      </c>
    </row>
    <row r="19" spans="2:8" x14ac:dyDescent="0.25">
      <c r="B19" s="144" t="s">
        <v>128</v>
      </c>
      <c r="C19" s="145"/>
      <c r="D19" s="145"/>
      <c r="E19" s="145"/>
      <c r="F19" s="145"/>
      <c r="G19" s="145"/>
      <c r="H19" s="145"/>
    </row>
    <row r="20" spans="2:8" x14ac:dyDescent="0.25">
      <c r="B20" s="12" t="s">
        <v>100</v>
      </c>
      <c r="C20" s="145"/>
      <c r="D20" s="145">
        <f>'Model Assumptions'!C60</f>
        <v>587159</v>
      </c>
      <c r="E20" s="145">
        <f>'Model Assumptions'!D60</f>
        <v>598902.18000000005</v>
      </c>
      <c r="F20" s="145">
        <f>'Model Assumptions'!E60</f>
        <v>610880.22360000003</v>
      </c>
      <c r="G20" s="145">
        <f>'Model Assumptions'!F60</f>
        <v>623097.82807199995</v>
      </c>
      <c r="H20" s="145">
        <f>'Model Assumptions'!G60</f>
        <v>635559.78463343997</v>
      </c>
    </row>
    <row r="21" spans="2:8" s="44" customFormat="1" x14ac:dyDescent="0.25">
      <c r="B21" s="12" t="s">
        <v>47</v>
      </c>
      <c r="C21" s="145"/>
      <c r="D21" s="145">
        <f>'Model Assumptions'!C61</f>
        <v>60000</v>
      </c>
      <c r="E21" s="145">
        <f>'Model Assumptions'!D61</f>
        <v>61200</v>
      </c>
      <c r="F21" s="145">
        <f>'Model Assumptions'!E61</f>
        <v>62424</v>
      </c>
      <c r="G21" s="145">
        <f>'Model Assumptions'!F61</f>
        <v>63672.479999999996</v>
      </c>
      <c r="H21" s="145">
        <f>'Model Assumptions'!G61</f>
        <v>64945.929599999996</v>
      </c>
    </row>
    <row r="22" spans="2:8" s="44" customFormat="1" x14ac:dyDescent="0.25">
      <c r="B22" s="12" t="s">
        <v>63</v>
      </c>
      <c r="C22" s="145"/>
      <c r="D22" s="145">
        <f>'Model Assumptions'!C62</f>
        <v>60000</v>
      </c>
      <c r="E22" s="145">
        <f>'Model Assumptions'!D62</f>
        <v>61200</v>
      </c>
      <c r="F22" s="145">
        <f>'Model Assumptions'!E62</f>
        <v>62423.999999999993</v>
      </c>
      <c r="G22" s="145">
        <f>'Model Assumptions'!F62</f>
        <v>63672.479999999996</v>
      </c>
      <c r="H22" s="145">
        <f>'Model Assumptions'!G62</f>
        <v>64945.929600000003</v>
      </c>
    </row>
    <row r="23" spans="2:8" x14ac:dyDescent="0.25">
      <c r="B23" s="12" t="s">
        <v>1</v>
      </c>
      <c r="C23" s="145"/>
      <c r="D23" s="145">
        <f>'Model Assumptions'!C63</f>
        <v>75000</v>
      </c>
      <c r="E23" s="145">
        <f>'Model Assumptions'!D63</f>
        <v>76500</v>
      </c>
      <c r="F23" s="145">
        <f>'Model Assumptions'!E63</f>
        <v>78030</v>
      </c>
      <c r="G23" s="145">
        <f>'Model Assumptions'!F63</f>
        <v>79590.600000000006</v>
      </c>
      <c r="H23" s="145">
        <f>'Model Assumptions'!G63</f>
        <v>81182.412000000011</v>
      </c>
    </row>
    <row r="24" spans="2:8" x14ac:dyDescent="0.25">
      <c r="B24" s="12" t="s">
        <v>101</v>
      </c>
      <c r="C24" s="145"/>
      <c r="D24" s="145">
        <f>'Model Assumptions'!C64</f>
        <v>30000</v>
      </c>
      <c r="E24" s="145">
        <f>'Model Assumptions'!D64</f>
        <v>30600</v>
      </c>
      <c r="F24" s="145">
        <f>'Model Assumptions'!E64</f>
        <v>31212</v>
      </c>
      <c r="G24" s="145">
        <f>'Model Assumptions'!F64</f>
        <v>31836.239999999998</v>
      </c>
      <c r="H24" s="145">
        <f>'Model Assumptions'!G64</f>
        <v>32472.964799999998</v>
      </c>
    </row>
    <row r="25" spans="2:8" x14ac:dyDescent="0.25">
      <c r="B25" s="47" t="s">
        <v>34</v>
      </c>
      <c r="C25" s="153"/>
      <c r="D25" s="153">
        <f>SUM(D20:D24)</f>
        <v>812159</v>
      </c>
      <c r="E25" s="153">
        <f>SUM(E20:E24)</f>
        <v>828402.18</v>
      </c>
      <c r="F25" s="153">
        <f>SUM(F20:F24)</f>
        <v>844970.22360000003</v>
      </c>
      <c r="G25" s="153">
        <f>SUM(G20:G24)</f>
        <v>861869.62807199988</v>
      </c>
      <c r="H25" s="153">
        <f>SUM(H20:H24)</f>
        <v>879107.02063344</v>
      </c>
    </row>
    <row r="26" spans="2:8" s="44" customFormat="1" ht="16.5" thickBot="1" x14ac:dyDescent="0.3">
      <c r="B26" s="1" t="s">
        <v>3</v>
      </c>
      <c r="C26" s="149"/>
      <c r="D26" s="149">
        <f>D18-D25</f>
        <v>2705000</v>
      </c>
      <c r="E26" s="149">
        <f>E18-E25</f>
        <v>2707400</v>
      </c>
      <c r="F26" s="149">
        <f>F18-F25</f>
        <v>2709848</v>
      </c>
      <c r="G26" s="149">
        <f>G18-G25</f>
        <v>2712344.96</v>
      </c>
      <c r="H26" s="149">
        <f>H18-H25</f>
        <v>2714891.8591999998</v>
      </c>
    </row>
    <row r="27" spans="2:8" s="88" customFormat="1" x14ac:dyDescent="0.25">
      <c r="B27" s="11" t="s">
        <v>91</v>
      </c>
      <c r="C27" s="145"/>
      <c r="D27" s="145">
        <f>SUM('Model Assumptions'!C46:C48)</f>
        <v>0</v>
      </c>
      <c r="E27" s="145">
        <f>SUM('Model Assumptions'!D46:D48)</f>
        <v>0</v>
      </c>
      <c r="F27" s="145">
        <f>SUM('Model Assumptions'!E46:E48)</f>
        <v>0</v>
      </c>
      <c r="G27" s="145">
        <f>SUM('Model Assumptions'!F46:F48)</f>
        <v>0</v>
      </c>
      <c r="H27" s="145">
        <f>SUM('Model Assumptions'!G46:G48)</f>
        <v>0</v>
      </c>
    </row>
    <row r="28" spans="2:8" x14ac:dyDescent="0.25">
      <c r="B28" s="11" t="s">
        <v>170</v>
      </c>
      <c r="C28" s="145"/>
      <c r="D28" s="145">
        <f>SUM('Model Assumptions'!C41:C43)</f>
        <v>0</v>
      </c>
      <c r="E28" s="145">
        <f>SUM('Model Assumptions'!D41:D43)</f>
        <v>0</v>
      </c>
      <c r="F28" s="145">
        <f>SUM('Model Assumptions'!E41:E43)</f>
        <v>0</v>
      </c>
      <c r="G28" s="145">
        <f>SUM('Model Assumptions'!F41:F43)</f>
        <v>0</v>
      </c>
      <c r="H28" s="145">
        <f>SUM('Model Assumptions'!G41:G43)</f>
        <v>0</v>
      </c>
    </row>
    <row r="29" spans="2:8" x14ac:dyDescent="0.25">
      <c r="B29" s="11" t="s">
        <v>138</v>
      </c>
      <c r="C29" s="145"/>
      <c r="D29" s="145">
        <f>'Model Assumptions'!$G$12*'Leveraged Net Cash Flows'!D26</f>
        <v>27050</v>
      </c>
      <c r="E29" s="145">
        <f>'Model Assumptions'!$G$12*'Leveraged Net Cash Flows'!E26</f>
        <v>27074</v>
      </c>
      <c r="F29" s="145">
        <f>'Model Assumptions'!$G$12*'Leveraged Net Cash Flows'!F26</f>
        <v>27098.48</v>
      </c>
      <c r="G29" s="145">
        <f>'Model Assumptions'!$G$12*'Leveraged Net Cash Flows'!G26</f>
        <v>27123.4496</v>
      </c>
      <c r="H29" s="145">
        <f>'Model Assumptions'!$G$12*'Leveraged Net Cash Flows'!H26</f>
        <v>27148.918591999998</v>
      </c>
    </row>
    <row r="30" spans="2:8" ht="16.5" thickBot="1" x14ac:dyDescent="0.3">
      <c r="B30" s="27" t="s">
        <v>134</v>
      </c>
      <c r="C30" s="149"/>
      <c r="D30" s="149">
        <f>D26-D27-D28-D29</f>
        <v>2677950</v>
      </c>
      <c r="E30" s="149">
        <f>E26--D27-E28-E29</f>
        <v>2680326</v>
      </c>
      <c r="F30" s="149">
        <f>F26-F27-F28-F29</f>
        <v>2682749.52</v>
      </c>
      <c r="G30" s="149">
        <f>G26-G27-G28-G29</f>
        <v>2685221.5104</v>
      </c>
      <c r="H30" s="149">
        <f>H26-H27-H28-H29</f>
        <v>2687742.9406079999</v>
      </c>
    </row>
    <row r="31" spans="2:8" x14ac:dyDescent="0.25">
      <c r="B31" s="11" t="s">
        <v>179</v>
      </c>
      <c r="C31" s="145"/>
      <c r="D31" s="145"/>
      <c r="E31" s="145"/>
      <c r="F31" s="145"/>
      <c r="G31" s="145"/>
      <c r="H31" s="145">
        <f>'Model Assumptions'!Q21</f>
        <v>37580518.549867868</v>
      </c>
    </row>
    <row r="32" spans="2:8" x14ac:dyDescent="0.25">
      <c r="B32" s="11" t="s">
        <v>178</v>
      </c>
      <c r="C32" s="145">
        <f>'Model Assumptions'!Q19</f>
        <v>34000000</v>
      </c>
      <c r="D32" s="145"/>
      <c r="E32" s="145"/>
      <c r="F32" s="145"/>
      <c r="G32" s="145"/>
      <c r="H32" s="145"/>
    </row>
    <row r="33" spans="2:8" ht="16.5" thickBot="1" x14ac:dyDescent="0.3">
      <c r="B33" s="1" t="s">
        <v>146</v>
      </c>
      <c r="C33" s="127">
        <f t="shared" ref="C33:H33" si="0">C30+C31-C32</f>
        <v>-34000000</v>
      </c>
      <c r="D33" s="127">
        <f t="shared" si="0"/>
        <v>2677950</v>
      </c>
      <c r="E33" s="127">
        <f t="shared" si="0"/>
        <v>2680326</v>
      </c>
      <c r="F33" s="127">
        <f t="shared" si="0"/>
        <v>2682749.52</v>
      </c>
      <c r="G33" s="127">
        <f t="shared" si="0"/>
        <v>2685221.5104</v>
      </c>
      <c r="H33" s="127">
        <f t="shared" si="0"/>
        <v>40268261.490475871</v>
      </c>
    </row>
    <row r="34" spans="2:8" ht="16.5" thickTop="1" x14ac:dyDescent="0.25">
      <c r="C34" s="80"/>
      <c r="D34" s="80"/>
      <c r="E34" s="80"/>
      <c r="F34" s="80"/>
      <c r="G34" s="80"/>
      <c r="H34" s="80"/>
    </row>
    <row r="35" spans="2:8" x14ac:dyDescent="0.25">
      <c r="B35" s="11" t="s">
        <v>113</v>
      </c>
      <c r="C35" s="14">
        <f>IRR(C33:H33)</f>
        <v>9.6270617709149464E-2</v>
      </c>
      <c r="D35" s="80"/>
      <c r="E35" s="80"/>
      <c r="F35" s="80"/>
      <c r="G35" s="80"/>
      <c r="H35" s="80"/>
    </row>
    <row r="36" spans="2:8" x14ac:dyDescent="0.25">
      <c r="C36" s="80"/>
      <c r="D36" s="80"/>
      <c r="E36" s="80"/>
      <c r="F36" s="80"/>
      <c r="G36" s="80"/>
      <c r="H36" s="80"/>
    </row>
    <row r="37" spans="2:8" x14ac:dyDescent="0.25">
      <c r="B37" s="144" t="s">
        <v>148</v>
      </c>
      <c r="C37" s="80"/>
      <c r="D37" s="80"/>
      <c r="E37" s="80"/>
      <c r="F37" s="80"/>
      <c r="G37" s="80"/>
      <c r="H37" s="80"/>
    </row>
    <row r="38" spans="2:8" x14ac:dyDescent="0.25">
      <c r="B38" s="12" t="s">
        <v>149</v>
      </c>
      <c r="C38" s="145"/>
      <c r="D38" s="145">
        <f>D30</f>
        <v>2677950</v>
      </c>
      <c r="E38" s="145">
        <f>E30</f>
        <v>2680326</v>
      </c>
      <c r="F38" s="145">
        <f>F30</f>
        <v>2682749.52</v>
      </c>
      <c r="G38" s="145">
        <f>G30</f>
        <v>2685221.5104</v>
      </c>
      <c r="H38" s="145">
        <f>H30</f>
        <v>2687742.9406079999</v>
      </c>
    </row>
    <row r="39" spans="2:8" x14ac:dyDescent="0.25">
      <c r="B39" s="12" t="s">
        <v>168</v>
      </c>
      <c r="C39" s="145">
        <f>'Debt Financing'!C16</f>
        <v>209245.78606620352</v>
      </c>
      <c r="D39" s="145"/>
      <c r="E39" s="145"/>
      <c r="F39" s="145"/>
      <c r="G39" s="145"/>
      <c r="H39" s="145"/>
    </row>
    <row r="40" spans="2:8" x14ac:dyDescent="0.25">
      <c r="B40" s="12" t="s">
        <v>150</v>
      </c>
      <c r="C40" s="145">
        <f>'Debt Financing'!C26</f>
        <v>13284667.179445852</v>
      </c>
      <c r="D40" s="145"/>
      <c r="E40" s="145"/>
      <c r="F40" s="145"/>
      <c r="G40" s="145"/>
      <c r="H40" s="145"/>
    </row>
    <row r="41" spans="2:8" x14ac:dyDescent="0.25">
      <c r="B41" s="12" t="s">
        <v>180</v>
      </c>
      <c r="C41" s="145"/>
      <c r="D41" s="145">
        <f>'Debt Financing'!$C$27</f>
        <v>1720124.9999999912</v>
      </c>
      <c r="E41" s="145">
        <f>'Debt Financing'!$C$27</f>
        <v>1720124.9999999912</v>
      </c>
      <c r="F41" s="145">
        <f>'Debt Financing'!$C$27</f>
        <v>1720124.9999999912</v>
      </c>
      <c r="G41" s="145">
        <f>'Debt Financing'!$C$27</f>
        <v>1720124.9999999912</v>
      </c>
      <c r="H41" s="145">
        <f>'Debt Financing'!$C$27</f>
        <v>1720124.9999999912</v>
      </c>
    </row>
    <row r="42" spans="2:8" x14ac:dyDescent="0.25">
      <c r="B42" s="12" t="s">
        <v>151</v>
      </c>
      <c r="C42" s="145"/>
      <c r="D42" s="145"/>
      <c r="E42" s="145"/>
      <c r="F42" s="145"/>
      <c r="G42" s="145"/>
      <c r="H42" s="145">
        <f>H31-'Debt Financing'!J10</f>
        <v>18590675.205602858</v>
      </c>
    </row>
    <row r="43" spans="2:8" ht="16.5" thickBot="1" x14ac:dyDescent="0.3">
      <c r="B43" s="1" t="s">
        <v>152</v>
      </c>
      <c r="C43" s="127">
        <f t="shared" ref="C43:H43" si="1">C38-C39-C40-C41+C42</f>
        <v>-13493912.965512056</v>
      </c>
      <c r="D43" s="127">
        <f t="shared" si="1"/>
        <v>957825.00000000885</v>
      </c>
      <c r="E43" s="127">
        <f t="shared" si="1"/>
        <v>960201.00000000885</v>
      </c>
      <c r="F43" s="127">
        <f t="shared" si="1"/>
        <v>962624.52000000887</v>
      </c>
      <c r="G43" s="127">
        <f t="shared" si="1"/>
        <v>965096.51040000888</v>
      </c>
      <c r="H43" s="127">
        <f t="shared" si="1"/>
        <v>19558293.146210868</v>
      </c>
    </row>
    <row r="44" spans="2:8" ht="16.5" thickTop="1" x14ac:dyDescent="0.25"/>
    <row r="45" spans="2:8" x14ac:dyDescent="0.25">
      <c r="B45" t="s">
        <v>116</v>
      </c>
      <c r="C45" s="14">
        <f>IRR(C43:H43)</f>
        <v>0.12962647548254735</v>
      </c>
    </row>
    <row r="47" spans="2:8" x14ac:dyDescent="0.25">
      <c r="B47" s="19" t="s">
        <v>60</v>
      </c>
    </row>
    <row r="48" spans="2:8" x14ac:dyDescent="0.25">
      <c r="B48" t="s">
        <v>102</v>
      </c>
      <c r="D48" s="13">
        <f>D26/D41</f>
        <v>1.5725601337112209</v>
      </c>
      <c r="E48" s="13">
        <f>E26/E41</f>
        <v>1.5739553811496338</v>
      </c>
      <c r="F48" s="13">
        <f>F26/F41</f>
        <v>1.5753785335368151</v>
      </c>
      <c r="G48" s="13">
        <f>G26/G41</f>
        <v>1.5768301489717398</v>
      </c>
      <c r="H48" s="13">
        <f>H26/H41</f>
        <v>1.5783107967153631</v>
      </c>
    </row>
    <row r="49" spans="2:8" x14ac:dyDescent="0.25">
      <c r="B49" t="s">
        <v>61</v>
      </c>
      <c r="E49" s="7">
        <f>E43/-($C$43+$D$43)</f>
        <v>7.6594947534000382E-2</v>
      </c>
      <c r="F49" s="7">
        <f>F43/-($C$43+$D$43)</f>
        <v>7.6788271001948863E-2</v>
      </c>
      <c r="G49" s="7">
        <f>G43/-($C$43+$D$43)</f>
        <v>7.6985460939256317E-2</v>
      </c>
      <c r="H49" s="7">
        <f>H43/-($C$43+$D$43)</f>
        <v>1.5601592139443794</v>
      </c>
    </row>
  </sheetData>
  <mergeCells count="2">
    <mergeCell ref="B3:H4"/>
    <mergeCell ref="C6:H6"/>
  </mergeCells>
  <pageMargins left="0.7" right="0.7" top="0.75" bottom="0.75" header="0.3" footer="0.3"/>
  <pageSetup paperSize="9" scale="55" fitToWidth="0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J24"/>
  <sheetViews>
    <sheetView showGridLines="0" topLeftCell="A4" zoomScale="80" zoomScaleNormal="80" zoomScalePageLayoutView="80" workbookViewId="0">
      <selection activeCell="I21" sqref="I21"/>
    </sheetView>
  </sheetViews>
  <sheetFormatPr defaultColWidth="11" defaultRowHeight="15.75" x14ac:dyDescent="0.25"/>
  <cols>
    <col min="2" max="2" width="8.25" customWidth="1"/>
    <col min="3" max="3" width="10.25" customWidth="1"/>
    <col min="4" max="4" width="8.25" customWidth="1"/>
    <col min="5" max="5" width="12.75" bestFit="1" customWidth="1"/>
    <col min="6" max="9" width="11" bestFit="1" customWidth="1"/>
    <col min="10" max="10" width="12.125" bestFit="1" customWidth="1"/>
  </cols>
  <sheetData>
    <row r="2" spans="2:10" ht="15" customHeight="1" x14ac:dyDescent="0.25">
      <c r="B2" s="185" t="s">
        <v>156</v>
      </c>
      <c r="C2" s="185"/>
      <c r="D2" s="185"/>
      <c r="E2" s="185"/>
      <c r="F2" s="185"/>
      <c r="G2" s="185"/>
      <c r="H2" s="185"/>
      <c r="I2" s="185"/>
      <c r="J2" s="185"/>
    </row>
    <row r="3" spans="2:10" ht="15" customHeight="1" x14ac:dyDescent="0.25">
      <c r="B3" s="185"/>
      <c r="C3" s="185"/>
      <c r="D3" s="185"/>
      <c r="E3" s="185"/>
      <c r="F3" s="185"/>
      <c r="G3" s="185"/>
      <c r="H3" s="185"/>
      <c r="I3" s="185"/>
      <c r="J3" s="185"/>
    </row>
    <row r="4" spans="2:10" ht="15" customHeight="1" x14ac:dyDescent="0.25"/>
    <row r="5" spans="2:10" ht="15" customHeight="1" x14ac:dyDescent="0.25"/>
    <row r="6" spans="2:10" ht="15" customHeight="1" x14ac:dyDescent="0.25">
      <c r="B6" s="193" t="s">
        <v>161</v>
      </c>
      <c r="C6" s="193"/>
      <c r="D6" s="193"/>
    </row>
    <row r="7" spans="2:10" x14ac:dyDescent="0.25">
      <c r="B7" s="193"/>
      <c r="C7" s="193"/>
      <c r="D7" s="193"/>
    </row>
    <row r="8" spans="2:10" ht="31.5" x14ac:dyDescent="0.25">
      <c r="B8" s="155"/>
      <c r="C8" s="156" t="s">
        <v>162</v>
      </c>
      <c r="D8" s="100" t="s">
        <v>29</v>
      </c>
    </row>
    <row r="9" spans="2:10" x14ac:dyDescent="0.25">
      <c r="B9" t="s">
        <v>71</v>
      </c>
      <c r="C9" s="7">
        <f>IF('Debt Financing'!C17=0,1,'Debt Financing'!C26/'Debt Financing'!C17)</f>
        <v>0.38833557636797827</v>
      </c>
      <c r="D9" s="7">
        <f>(D11-(C10*D10))/C9</f>
        <v>0.1236454507886663</v>
      </c>
    </row>
    <row r="10" spans="2:10" x14ac:dyDescent="0.25">
      <c r="B10" t="s">
        <v>30</v>
      </c>
      <c r="C10" s="7">
        <f>IF('Debt Financing'!C17=0,0,'Debt Financing'!C25/'Debt Financing'!C17)</f>
        <v>0.61166442363202167</v>
      </c>
      <c r="D10" s="7">
        <f>'Debt Financing'!C12</f>
        <v>6.8639062499999959E-2</v>
      </c>
    </row>
    <row r="11" spans="2:10" x14ac:dyDescent="0.25">
      <c r="B11" t="s">
        <v>70</v>
      </c>
      <c r="C11" s="7"/>
      <c r="D11" s="7">
        <f>'Unleveraged DCF Analysis'!C9</f>
        <v>9.0000000000000011E-2</v>
      </c>
    </row>
    <row r="13" spans="2:10" x14ac:dyDescent="0.25">
      <c r="B13" s="187" t="s">
        <v>160</v>
      </c>
      <c r="C13" s="194"/>
      <c r="D13" s="7">
        <f>IF('Model Assumptions'!G74="",D9,'Model Assumptions'!G74)</f>
        <v>0.1236454507886663</v>
      </c>
    </row>
    <row r="16" spans="2:10" x14ac:dyDescent="0.25">
      <c r="B16" s="186" t="s">
        <v>159</v>
      </c>
      <c r="C16" s="186"/>
      <c r="D16" s="186"/>
      <c r="E16" s="186" t="s">
        <v>31</v>
      </c>
      <c r="F16" s="186"/>
      <c r="G16" s="186"/>
      <c r="H16" s="186"/>
      <c r="I16" s="186"/>
      <c r="J16" s="186"/>
    </row>
    <row r="17" spans="2:10" x14ac:dyDescent="0.25">
      <c r="E17" s="18">
        <v>0</v>
      </c>
      <c r="F17" s="18">
        <v>1</v>
      </c>
      <c r="G17" s="18">
        <v>2</v>
      </c>
      <c r="H17" s="18">
        <v>3</v>
      </c>
      <c r="I17" s="18">
        <v>4</v>
      </c>
      <c r="J17" s="18">
        <v>5</v>
      </c>
    </row>
    <row r="18" spans="2:10" x14ac:dyDescent="0.25">
      <c r="B18" s="191" t="s">
        <v>152</v>
      </c>
      <c r="C18" s="191"/>
      <c r="D18" s="191"/>
      <c r="E18" s="145">
        <f>'Leveraged Net Cash Flows'!C43</f>
        <v>-13493912.965512056</v>
      </c>
      <c r="F18" s="145">
        <f>'Leveraged Net Cash Flows'!D43</f>
        <v>957825.00000000885</v>
      </c>
      <c r="G18" s="145">
        <f>'Leveraged Net Cash Flows'!E43</f>
        <v>960201.00000000885</v>
      </c>
      <c r="H18" s="145">
        <f>'Leveraged Net Cash Flows'!F43</f>
        <v>962624.52000000887</v>
      </c>
      <c r="I18" s="145">
        <f>'Leveraged Net Cash Flows'!G43</f>
        <v>965096.51040000888</v>
      </c>
      <c r="J18" s="145">
        <f>'Leveraged Net Cash Flows'!H43</f>
        <v>19558293.146210868</v>
      </c>
    </row>
    <row r="19" spans="2:10" x14ac:dyDescent="0.25">
      <c r="B19" s="191" t="s">
        <v>8</v>
      </c>
      <c r="C19" s="191"/>
      <c r="D19" s="191"/>
      <c r="E19" s="145">
        <f t="shared" ref="E19:J19" si="0">E18/((1+$D$13)^E17)</f>
        <v>-13493912.965512056</v>
      </c>
      <c r="F19" s="145">
        <f t="shared" si="0"/>
        <v>852426.35862382466</v>
      </c>
      <c r="G19" s="145">
        <f t="shared" si="0"/>
        <v>760507.59964357642</v>
      </c>
      <c r="H19" s="145">
        <f t="shared" si="0"/>
        <v>678529.95680134394</v>
      </c>
      <c r="I19" s="145">
        <f t="shared" si="0"/>
        <v>605415.52546901791</v>
      </c>
      <c r="J19" s="145">
        <f t="shared" si="0"/>
        <v>10919040.126894258</v>
      </c>
    </row>
    <row r="20" spans="2:10" x14ac:dyDescent="0.25">
      <c r="B20" s="191"/>
      <c r="C20" s="191"/>
      <c r="D20" s="191"/>
      <c r="E20" s="80"/>
      <c r="F20" s="80"/>
      <c r="G20" s="80"/>
      <c r="H20" s="80"/>
      <c r="I20" s="80"/>
      <c r="J20" s="80"/>
    </row>
    <row r="21" spans="2:10" ht="33.6" customHeight="1" x14ac:dyDescent="0.25">
      <c r="B21" s="192" t="s">
        <v>157</v>
      </c>
      <c r="C21" s="192"/>
      <c r="D21" s="192"/>
      <c r="E21" s="145">
        <f>SUM(E18:J18)</f>
        <v>9910127.2110988479</v>
      </c>
      <c r="F21" s="80"/>
      <c r="G21" s="80"/>
      <c r="H21" s="80"/>
      <c r="I21" s="80"/>
      <c r="J21" s="80"/>
    </row>
    <row r="22" spans="2:10" x14ac:dyDescent="0.25">
      <c r="B22" s="190" t="s">
        <v>65</v>
      </c>
      <c r="C22" s="190"/>
      <c r="D22" s="190"/>
      <c r="E22" s="145">
        <f>SUM(F19:J19)</f>
        <v>13815919.56743202</v>
      </c>
      <c r="F22" s="80"/>
      <c r="G22" s="80"/>
      <c r="H22" s="80"/>
      <c r="I22" s="80"/>
      <c r="J22" s="80"/>
    </row>
    <row r="23" spans="2:10" x14ac:dyDescent="0.25">
      <c r="B23" s="191" t="s">
        <v>12</v>
      </c>
      <c r="C23" s="191"/>
      <c r="D23" s="191"/>
      <c r="E23" s="145">
        <f>SUM(E19:J19)</f>
        <v>322006.60191996582</v>
      </c>
      <c r="F23" s="80"/>
      <c r="G23" s="80"/>
      <c r="H23" s="80"/>
      <c r="I23" s="80"/>
      <c r="J23" s="80"/>
    </row>
    <row r="24" spans="2:10" x14ac:dyDescent="0.25">
      <c r="B24" s="190" t="s">
        <v>13</v>
      </c>
      <c r="C24" s="190"/>
      <c r="D24" s="190"/>
      <c r="E24" s="7">
        <f>IRR(E18:J18)</f>
        <v>0.12962647548254735</v>
      </c>
    </row>
  </sheetData>
  <mergeCells count="13">
    <mergeCell ref="B24:D24"/>
    <mergeCell ref="B22:D22"/>
    <mergeCell ref="B23:D23"/>
    <mergeCell ref="E16:J16"/>
    <mergeCell ref="B2:J3"/>
    <mergeCell ref="B16:D16"/>
    <mergeCell ref="B18:D18"/>
    <mergeCell ref="B19:D19"/>
    <mergeCell ref="B20:D20"/>
    <mergeCell ref="B21:D21"/>
    <mergeCell ref="B7:D7"/>
    <mergeCell ref="B13:C13"/>
    <mergeCell ref="B6:D6"/>
  </mergeCells>
  <printOptions gridLines="1"/>
  <pageMargins left="0.75" right="0.75" top="1" bottom="1" header="0.5" footer="0.5"/>
  <pageSetup scale="85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Model Assumptions</vt:lpstr>
      <vt:lpstr>Rent Roll</vt:lpstr>
      <vt:lpstr>Stabilized Proforma NOI (YR 1)</vt:lpstr>
      <vt:lpstr>Stabilized Proforma NOI (YR 6)</vt:lpstr>
      <vt:lpstr>Unleveraged Net Cash Flows</vt:lpstr>
      <vt:lpstr>Unleveraged DCF Analysis</vt:lpstr>
      <vt:lpstr>Debt Financing</vt:lpstr>
      <vt:lpstr>Leveraged Net Cash Flows</vt:lpstr>
      <vt:lpstr>Leveraged DCF Analysis</vt:lpstr>
      <vt:lpstr>Years</vt:lpstr>
    </vt:vector>
  </TitlesOfParts>
  <Company>Real Estate Council of Alberta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RE-REP 2019 Excel Modelling</dc:title>
  <dc:creator>Amanda McKellar</dc:creator>
  <cp:lastModifiedBy>Amanda McKellar</cp:lastModifiedBy>
  <cp:lastPrinted>2018-11-29T21:28:23Z</cp:lastPrinted>
  <dcterms:created xsi:type="dcterms:W3CDTF">2015-10-05T18:33:21Z</dcterms:created>
  <dcterms:modified xsi:type="dcterms:W3CDTF">2019-02-05T19:27:36Z</dcterms:modified>
</cp:coreProperties>
</file>